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stival2018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<sst xmlns="http://schemas.openxmlformats.org/spreadsheetml/2006/main" count="61" uniqueCount="44">
  <si>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Festival 2018</t>
  </si>
  <si>
    <t>Electricity surveys</t>
  </si>
  <si>
    <t>costo /kwh</t>
  </si>
  <si>
    <t>kwh</t>
  </si>
  <si>
    <t>day</t>
  </si>
  <si>
    <t>Total kwh/day</t>
  </si>
  <si>
    <t>giorni</t>
  </si>
  <si>
    <t>prelievi</t>
  </si>
  <si>
    <t>immissioni</t>
  </si>
  <si>
    <t>produzione</t>
  </si>
  <si>
    <t>immissione</t>
  </si>
  <si>
    <t>consumo/gg</t>
  </si>
  <si>
    <t>consumo totale</t>
  </si>
  <si>
    <t>costo consumo</t>
  </si>
  <si>
    <t>sabbadini</t>
  </si>
  <si>
    <t>testini</t>
  </si>
  <si>
    <t>bertolo</t>
  </si>
  <si>
    <t>del genio</t>
  </si>
  <si>
    <t>tettoiaFV</t>
  </si>
  <si>
    <t>guizzi</t>
  </si>
  <si>
    <t>montalto</t>
  </si>
  <si>
    <t>totaro</t>
  </si>
  <si>
    <t>tot</t>
  </si>
  <si>
    <t>bilancio</t>
  </si>
  <si>
    <t>kg/kwhel</t>
  </si>
  <si>
    <t>Sovraproduzione totale</t>
  </si>
  <si>
    <t>c02 (Kg/p/year) avoided</t>
  </si>
  <si>
    <t>water (L)</t>
  </si>
  <si>
    <t>days</t>
  </si>
  <si>
    <t>Costo €/mc (&gt;200mc year)</t>
  </si>
  <si>
    <t>mc</t>
  </si>
  <si>
    <t>Total mc/day</t>
  </si>
  <si>
    <t>persone</t>
  </si>
  <si>
    <t>kg Co2/liter</t>
  </si>
  <si>
    <t>liter/day/person</t>
  </si>
  <si>
    <t>Co2 (kg/p/year)</t>
  </si>
  <si>
    <t>Gas surveys</t>
  </si>
  <si>
    <t>kwh/mc</t>
  </si>
  <si>
    <t>Cost €/mc</t>
  </si>
  <si>
    <t>Mc (gpl per kitchen)</t>
  </si>
  <si>
    <t>consumo (mc)</t>
  </si>
  <si>
    <t>costo</t>
  </si>
  <si>
    <t>kg/kwhterm</t>
  </si>
  <si>
    <t>Bilancio totale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</si>
</sst>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[$€-410]\ #,##0.00;[RED]\-[$€-410]\ #,##0.00"/>
    <numFmt numFmtId="167" formatCode="0"/>
    <numFmt numFmtId="168" formatCode="0.000"/>
    <numFmt numFmtId="169" formatCode="#,##0.000;[RED]\-#,##0.00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4" fontId="1" fillId="3" borderId="0" xfId="0" applyFont="1" applyFill="1" applyAlignment="1">
      <alignment/>
    </xf>
    <xf numFmtId="165" fontId="2" fillId="3" borderId="0" xfId="0" applyNumberFormat="1" applyFont="1" applyFill="1" applyAlignment="1">
      <alignment/>
    </xf>
    <xf numFmtId="164" fontId="2" fillId="3" borderId="0" xfId="0" applyFont="1" applyFill="1" applyAlignment="1">
      <alignment/>
    </xf>
    <xf numFmtId="165" fontId="2" fillId="3" borderId="0" xfId="0" applyNumberFormat="1" applyFont="1" applyFill="1" applyAlignment="1">
      <alignment horizontal="right"/>
    </xf>
    <xf numFmtId="164" fontId="0" fillId="3" borderId="0" xfId="0" applyFont="1" applyFill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0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8" fontId="1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166" fontId="0" fillId="0" borderId="2" xfId="0" applyNumberFormat="1" applyFill="1" applyBorder="1" applyAlignment="1">
      <alignment/>
    </xf>
    <xf numFmtId="164" fontId="0" fillId="0" borderId="2" xfId="0" applyFont="1" applyBorder="1" applyAlignment="1">
      <alignment/>
    </xf>
    <xf numFmtId="169" fontId="1" fillId="4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7" fontId="1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I23" sqref="I23"/>
    </sheetView>
  </sheetViews>
  <sheetFormatPr defaultColWidth="11.421875" defaultRowHeight="12.75"/>
  <cols>
    <col min="1" max="1" width="13.00390625" style="0" customWidth="1"/>
    <col min="2" max="2" width="9.140625" style="0" customWidth="1"/>
    <col min="3" max="3" width="9.28125" style="0" customWidth="1"/>
    <col min="5" max="5" width="9.421875" style="0" customWidth="1"/>
    <col min="6" max="6" width="12.00390625" style="0" customWidth="1"/>
    <col min="7" max="7" width="11.00390625" style="1" customWidth="1"/>
    <col min="8" max="10" width="11.57421875" style="0" customWidth="1"/>
    <col min="11" max="16384" width="11.57421875" style="0" customWidth="1"/>
  </cols>
  <sheetData>
    <row r="1" spans="1:9" ht="14.25">
      <c r="A1" s="2" t="s">
        <v>0</v>
      </c>
      <c r="B1" s="3"/>
      <c r="C1" s="3"/>
      <c r="D1" s="3"/>
      <c r="E1" s="3"/>
      <c r="F1" s="4"/>
      <c r="G1" s="5"/>
      <c r="I1" s="6"/>
    </row>
    <row r="2" spans="1:12" ht="14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 t="s">
        <v>2</v>
      </c>
      <c r="L2" s="9">
        <v>0.29</v>
      </c>
    </row>
    <row r="3" spans="1:12" ht="14.25">
      <c r="A3" s="10" t="s">
        <v>3</v>
      </c>
      <c r="B3" s="11">
        <v>43310</v>
      </c>
      <c r="C3" s="11"/>
      <c r="D3" s="12"/>
      <c r="E3" s="11">
        <v>43318</v>
      </c>
      <c r="F3" s="13" t="s">
        <v>4</v>
      </c>
      <c r="G3" s="12">
        <f>E3-B3</f>
        <v>8</v>
      </c>
      <c r="H3" s="14" t="s">
        <v>5</v>
      </c>
      <c r="I3" s="14"/>
      <c r="J3" s="14"/>
      <c r="K3" s="14" t="s">
        <v>6</v>
      </c>
      <c r="L3" s="14">
        <v>8</v>
      </c>
    </row>
    <row r="4" spans="1:13" ht="14.25">
      <c r="A4" s="2"/>
      <c r="B4" s="15" t="s">
        <v>7</v>
      </c>
      <c r="C4" s="15" t="s">
        <v>8</v>
      </c>
      <c r="D4" s="16" t="s">
        <v>9</v>
      </c>
      <c r="E4" s="15" t="s">
        <v>7</v>
      </c>
      <c r="F4" s="15" t="s">
        <v>8</v>
      </c>
      <c r="G4" s="16" t="s">
        <v>9</v>
      </c>
      <c r="H4" s="17" t="s">
        <v>7</v>
      </c>
      <c r="I4" s="17" t="s">
        <v>10</v>
      </c>
      <c r="J4" s="17" t="s">
        <v>9</v>
      </c>
      <c r="K4" s="17" t="s">
        <v>11</v>
      </c>
      <c r="L4" s="17" t="s">
        <v>12</v>
      </c>
      <c r="M4" t="s">
        <v>13</v>
      </c>
    </row>
    <row r="5" spans="1:13" ht="14.25">
      <c r="A5" s="2" t="s">
        <v>14</v>
      </c>
      <c r="B5" s="18">
        <f>2029+3350+5295</f>
        <v>10674</v>
      </c>
      <c r="C5" s="18">
        <f>5212+965+1096</f>
        <v>7273</v>
      </c>
      <c r="D5" s="16">
        <f>G5-G3*13.889</f>
        <v>15866.888</v>
      </c>
      <c r="E5" s="18">
        <f>2045+3364+5318</f>
        <v>10727</v>
      </c>
      <c r="F5" s="18">
        <f>5221+967+1104</f>
        <v>7292</v>
      </c>
      <c r="G5" s="16">
        <f>1607+524+543+5928+1258+6118</f>
        <v>15978</v>
      </c>
      <c r="H5" s="19">
        <f aca="true" t="shared" si="0" ref="H5:H12">(E5-B5)/$G$3</f>
        <v>6.625</v>
      </c>
      <c r="I5" s="19">
        <f aca="true" t="shared" si="1" ref="I5:I12">(F5-C5)/$G$3</f>
        <v>2.375</v>
      </c>
      <c r="J5" s="19">
        <f aca="true" t="shared" si="2" ref="J5:J12">(G5-D5)/$G$3</f>
        <v>13.888999999999896</v>
      </c>
      <c r="K5" s="19">
        <f aca="true" t="shared" si="3" ref="K5:K12">H5+(J5-I5)</f>
        <v>18.138999999999896</v>
      </c>
      <c r="L5" s="19">
        <f aca="true" t="shared" si="4" ref="L5:L12">K5*$L$3</f>
        <v>145.11199999999917</v>
      </c>
      <c r="M5" s="20">
        <f aca="true" t="shared" si="5" ref="M5:M12">L5*$L$2</f>
        <v>42.082479999999755</v>
      </c>
    </row>
    <row r="6" spans="1:13" ht="14.25">
      <c r="A6" s="2" t="s">
        <v>15</v>
      </c>
      <c r="B6" s="18">
        <f>3419+3118+4975</f>
        <v>11512</v>
      </c>
      <c r="C6" s="18"/>
      <c r="D6" s="16"/>
      <c r="E6" s="18">
        <f>3435+3132+4994</f>
        <v>11561</v>
      </c>
      <c r="F6" s="18"/>
      <c r="G6" s="16"/>
      <c r="H6" s="19">
        <f t="shared" si="0"/>
        <v>6.125</v>
      </c>
      <c r="I6" s="19">
        <f t="shared" si="1"/>
        <v>0</v>
      </c>
      <c r="J6" s="19">
        <f t="shared" si="2"/>
        <v>0</v>
      </c>
      <c r="K6" s="19">
        <f t="shared" si="3"/>
        <v>6.125</v>
      </c>
      <c r="L6" s="19">
        <f t="shared" si="4"/>
        <v>49</v>
      </c>
      <c r="M6" s="20">
        <f t="shared" si="5"/>
        <v>14.209999999999999</v>
      </c>
    </row>
    <row r="7" spans="1:13" ht="14.25">
      <c r="A7" s="2" t="s">
        <v>16</v>
      </c>
      <c r="B7" s="18">
        <f>543+1281+2201</f>
        <v>4025</v>
      </c>
      <c r="C7" s="18">
        <f>5965+1191+1272</f>
        <v>8428</v>
      </c>
      <c r="D7" s="16">
        <f>7489+1614+1768</f>
        <v>10871</v>
      </c>
      <c r="E7" s="18">
        <f>547+1288+2213</f>
        <v>4048</v>
      </c>
      <c r="F7" s="18">
        <f>5975+1193+1275</f>
        <v>8443</v>
      </c>
      <c r="G7" s="16">
        <f>D7+G3*5.222</f>
        <v>10912.776</v>
      </c>
      <c r="H7" s="19">
        <f t="shared" si="0"/>
        <v>2.875</v>
      </c>
      <c r="I7" s="19">
        <f t="shared" si="1"/>
        <v>1.875</v>
      </c>
      <c r="J7" s="19">
        <f t="shared" si="2"/>
        <v>5.22199999999998</v>
      </c>
      <c r="K7" s="19">
        <f t="shared" si="3"/>
        <v>6.22199999999998</v>
      </c>
      <c r="L7" s="19">
        <f t="shared" si="4"/>
        <v>49.77599999999984</v>
      </c>
      <c r="M7" s="20">
        <f t="shared" si="5"/>
        <v>14.435039999999953</v>
      </c>
    </row>
    <row r="8" spans="1:13" ht="14.25">
      <c r="A8" s="2" t="s">
        <v>17</v>
      </c>
      <c r="B8" s="18">
        <f>136+296+433</f>
        <v>865</v>
      </c>
      <c r="C8" s="18">
        <f>7811+1607+1830</f>
        <v>11248</v>
      </c>
      <c r="D8" s="18">
        <f>8018+1704+1943</f>
        <v>11665</v>
      </c>
      <c r="E8" s="18">
        <f>137+299+438</f>
        <v>874</v>
      </c>
      <c r="F8" s="18">
        <f>7840+1615+1837</f>
        <v>11292</v>
      </c>
      <c r="G8" s="18">
        <f>8053+1713+1952</f>
        <v>11718</v>
      </c>
      <c r="H8" s="19">
        <f t="shared" si="0"/>
        <v>1.125</v>
      </c>
      <c r="I8" s="19">
        <f t="shared" si="1"/>
        <v>5.5</v>
      </c>
      <c r="J8" s="19">
        <f t="shared" si="2"/>
        <v>6.625</v>
      </c>
      <c r="K8" s="19">
        <f t="shared" si="3"/>
        <v>2.25</v>
      </c>
      <c r="L8" s="19">
        <f t="shared" si="4"/>
        <v>18</v>
      </c>
      <c r="M8" s="20">
        <f t="shared" si="5"/>
        <v>5.22</v>
      </c>
    </row>
    <row r="9" spans="1:13" ht="14.25">
      <c r="A9" s="2" t="s">
        <v>18</v>
      </c>
      <c r="B9" s="18">
        <f>2+23+32</f>
        <v>57</v>
      </c>
      <c r="C9" s="18">
        <f>633+132+83</f>
        <v>848</v>
      </c>
      <c r="D9" s="16">
        <f>82524+17839+20139</f>
        <v>120502</v>
      </c>
      <c r="E9" s="18">
        <f>12+66+113</f>
        <v>191</v>
      </c>
      <c r="F9" s="18">
        <f>827+169+192</f>
        <v>1188</v>
      </c>
      <c r="G9" s="16">
        <f>82850+17928+20221</f>
        <v>120999</v>
      </c>
      <c r="H9" s="19">
        <f t="shared" si="0"/>
        <v>16.75</v>
      </c>
      <c r="I9" s="19">
        <f t="shared" si="1"/>
        <v>42.5</v>
      </c>
      <c r="J9" s="19">
        <f t="shared" si="2"/>
        <v>62.125</v>
      </c>
      <c r="K9" s="19">
        <f t="shared" si="3"/>
        <v>36.375</v>
      </c>
      <c r="L9" s="19">
        <f t="shared" si="4"/>
        <v>291</v>
      </c>
      <c r="M9" s="20">
        <f t="shared" si="5"/>
        <v>84.39</v>
      </c>
    </row>
    <row r="10" spans="1:13" ht="14.25">
      <c r="A10" s="2" t="s">
        <v>19</v>
      </c>
      <c r="B10" s="18">
        <f>2793+5494+8481</f>
        <v>16768</v>
      </c>
      <c r="C10" s="18">
        <f>15750+3117+3240</f>
        <v>22107</v>
      </c>
      <c r="D10" s="16">
        <f>20832+4899+5081</f>
        <v>30812</v>
      </c>
      <c r="E10" s="18">
        <f>2844+5550+8532</f>
        <v>16926</v>
      </c>
      <c r="F10" s="18">
        <f>15763+3122+3247</f>
        <v>22132</v>
      </c>
      <c r="G10" s="16">
        <f>20894+4917+5097</f>
        <v>30908</v>
      </c>
      <c r="H10" s="19">
        <f t="shared" si="0"/>
        <v>19.75</v>
      </c>
      <c r="I10" s="19">
        <f t="shared" si="1"/>
        <v>3.125</v>
      </c>
      <c r="J10" s="19">
        <f t="shared" si="2"/>
        <v>12</v>
      </c>
      <c r="K10" s="19">
        <f t="shared" si="3"/>
        <v>28.625</v>
      </c>
      <c r="L10" s="19">
        <f t="shared" si="4"/>
        <v>229</v>
      </c>
      <c r="M10" s="20">
        <f t="shared" si="5"/>
        <v>66.41</v>
      </c>
    </row>
    <row r="11" spans="1:13" ht="14.25">
      <c r="A11" s="2" t="s">
        <v>20</v>
      </c>
      <c r="B11" s="18">
        <f>1114+1830+2657</f>
        <v>5601</v>
      </c>
      <c r="C11" s="18">
        <f>6458+1374+1481</f>
        <v>9313</v>
      </c>
      <c r="D11" s="16">
        <f>8518+1921+2055</f>
        <v>12494</v>
      </c>
      <c r="E11" s="18">
        <f>1117+1837+2664</f>
        <v>5618</v>
      </c>
      <c r="F11" s="18">
        <f>6484+1380+1489</f>
        <v>9353</v>
      </c>
      <c r="G11" s="16">
        <f>8553+1931+2064</f>
        <v>12548</v>
      </c>
      <c r="H11" s="19">
        <f t="shared" si="0"/>
        <v>2.125</v>
      </c>
      <c r="I11" s="19">
        <f t="shared" si="1"/>
        <v>5</v>
      </c>
      <c r="J11" s="19">
        <f t="shared" si="2"/>
        <v>6.75</v>
      </c>
      <c r="K11" s="19">
        <f t="shared" si="3"/>
        <v>3.875</v>
      </c>
      <c r="L11" s="19">
        <f t="shared" si="4"/>
        <v>31</v>
      </c>
      <c r="M11" s="20">
        <f t="shared" si="5"/>
        <v>8.99</v>
      </c>
    </row>
    <row r="12" spans="1:13" ht="14.25">
      <c r="A12" s="2" t="s">
        <v>21</v>
      </c>
      <c r="B12" s="18">
        <v>0</v>
      </c>
      <c r="C12" s="16"/>
      <c r="D12" s="16"/>
      <c r="E12" s="18">
        <v>0</v>
      </c>
      <c r="F12" s="18"/>
      <c r="G12" s="16"/>
      <c r="H12" s="19">
        <f t="shared" si="0"/>
        <v>0</v>
      </c>
      <c r="I12" s="19">
        <f t="shared" si="1"/>
        <v>0</v>
      </c>
      <c r="J12" s="19">
        <f t="shared" si="2"/>
        <v>0</v>
      </c>
      <c r="K12" s="19">
        <f t="shared" si="3"/>
        <v>0</v>
      </c>
      <c r="L12" s="19">
        <f t="shared" si="4"/>
        <v>0</v>
      </c>
      <c r="M12" s="20">
        <f t="shared" si="5"/>
        <v>0</v>
      </c>
    </row>
    <row r="13" spans="1:13" ht="24" customHeight="1">
      <c r="A13" s="21" t="s">
        <v>22</v>
      </c>
      <c r="B13" s="22"/>
      <c r="C13" s="22"/>
      <c r="D13" s="22"/>
      <c r="E13" s="22"/>
      <c r="F13" s="22"/>
      <c r="G13" s="22"/>
      <c r="H13" s="23">
        <f>SUM(H5:H12)</f>
        <v>55.375</v>
      </c>
      <c r="I13" s="23">
        <f>SUM(I5:I12)</f>
        <v>60.375</v>
      </c>
      <c r="J13" s="24">
        <f>SUM(J5:J12)</f>
        <v>106.61099999999988</v>
      </c>
      <c r="K13" s="24">
        <f>SUM(K5:K12)</f>
        <v>101.61099999999988</v>
      </c>
      <c r="L13" s="24">
        <f>SUM(L5:L12)</f>
        <v>812.887999999999</v>
      </c>
      <c r="M13" s="25">
        <f>SUM(M5:M12)</f>
        <v>235.7375199999997</v>
      </c>
    </row>
    <row r="14" spans="1:13" ht="24" customHeight="1">
      <c r="A14" s="21" t="s">
        <v>23</v>
      </c>
      <c r="B14" t="s">
        <v>24</v>
      </c>
      <c r="C14">
        <v>0.52</v>
      </c>
      <c r="D14" s="22" t="s">
        <v>25</v>
      </c>
      <c r="E14" s="23">
        <f>(I13-H13)*$L$3</f>
        <v>40</v>
      </c>
      <c r="F14" s="26" t="s">
        <v>26</v>
      </c>
      <c r="G14" s="27">
        <f>E14*C14</f>
        <v>20.8</v>
      </c>
      <c r="I14" s="23"/>
      <c r="J14" s="24"/>
      <c r="K14" s="24"/>
      <c r="L14" s="24"/>
      <c r="M14" s="25"/>
    </row>
    <row r="15" spans="1:13" ht="24" customHeight="1">
      <c r="A15" s="21"/>
      <c r="B15" s="22"/>
      <c r="C15" s="22"/>
      <c r="D15" s="22"/>
      <c r="E15" s="22"/>
      <c r="F15" s="22"/>
      <c r="G15" s="22"/>
      <c r="H15" s="23"/>
      <c r="I15" s="23"/>
      <c r="J15" s="24"/>
      <c r="K15" s="24"/>
      <c r="L15" s="24"/>
      <c r="M15" s="24"/>
    </row>
    <row r="17" spans="1:6" ht="14.25">
      <c r="A17" s="7" t="s">
        <v>27</v>
      </c>
      <c r="B17" s="8"/>
      <c r="C17" s="8" t="s">
        <v>28</v>
      </c>
      <c r="D17" s="8">
        <f>C18-B18</f>
        <v>8</v>
      </c>
      <c r="E17" s="8" t="s">
        <v>29</v>
      </c>
      <c r="F17" s="9">
        <v>2.3</v>
      </c>
    </row>
    <row r="18" spans="1:6" ht="14.25">
      <c r="A18" s="10" t="s">
        <v>30</v>
      </c>
      <c r="B18" s="11">
        <v>43310</v>
      </c>
      <c r="C18" s="11">
        <v>43318</v>
      </c>
      <c r="D18" s="14" t="s">
        <v>31</v>
      </c>
      <c r="E18" s="14" t="s">
        <v>32</v>
      </c>
      <c r="F18" s="14">
        <v>250</v>
      </c>
    </row>
    <row r="19" spans="1:6" ht="14.25">
      <c r="A19" s="2" t="s">
        <v>14</v>
      </c>
      <c r="B19" s="16">
        <v>1921</v>
      </c>
      <c r="C19" s="16">
        <v>1934</v>
      </c>
      <c r="D19" s="19">
        <f aca="true" t="shared" si="6" ref="D19:D23">(C19-B19)/$D$17</f>
        <v>1.625</v>
      </c>
      <c r="F19" s="20">
        <f aca="true" t="shared" si="7" ref="F19:F23">D19*$D$17*$F$17</f>
        <v>29.9</v>
      </c>
    </row>
    <row r="20" spans="1:6" ht="14.25">
      <c r="A20" s="2" t="s">
        <v>16</v>
      </c>
      <c r="B20" s="16">
        <v>307</v>
      </c>
      <c r="C20" s="16">
        <v>322</v>
      </c>
      <c r="D20" s="19">
        <f t="shared" si="6"/>
        <v>1.875</v>
      </c>
      <c r="F20" s="20">
        <f t="shared" si="7"/>
        <v>34.5</v>
      </c>
    </row>
    <row r="21" spans="1:6" ht="14.25">
      <c r="A21" s="2" t="s">
        <v>17</v>
      </c>
      <c r="B21" s="16">
        <v>3851</v>
      </c>
      <c r="C21" s="16">
        <v>3855</v>
      </c>
      <c r="D21" s="19">
        <f t="shared" si="6"/>
        <v>0.5</v>
      </c>
      <c r="F21" s="20">
        <f t="shared" si="7"/>
        <v>9.2</v>
      </c>
    </row>
    <row r="22" spans="1:6" ht="14.25">
      <c r="A22" s="2" t="s">
        <v>21</v>
      </c>
      <c r="B22" s="16">
        <v>1854.107</v>
      </c>
      <c r="C22" s="16">
        <v>1858.947</v>
      </c>
      <c r="D22" s="19">
        <f t="shared" si="6"/>
        <v>0.6049999999999898</v>
      </c>
      <c r="F22" s="20">
        <f t="shared" si="7"/>
        <v>11.131999999999811</v>
      </c>
    </row>
    <row r="23" spans="1:8" ht="14.25">
      <c r="A23" s="2" t="s">
        <v>19</v>
      </c>
      <c r="B23" s="16">
        <v>3675.166</v>
      </c>
      <c r="C23" s="16">
        <v>3726.97</v>
      </c>
      <c r="D23" s="28">
        <f t="shared" si="6"/>
        <v>6.475499999999954</v>
      </c>
      <c r="E23" s="29"/>
      <c r="F23" s="20">
        <f t="shared" si="7"/>
        <v>119.14919999999914</v>
      </c>
      <c r="G23" t="s">
        <v>33</v>
      </c>
      <c r="H23">
        <f>0.4/1000</f>
        <v>0.0004</v>
      </c>
    </row>
    <row r="24" spans="1:8" ht="14.25">
      <c r="A24" s="21" t="s">
        <v>22</v>
      </c>
      <c r="B24" s="30"/>
      <c r="C24" s="23">
        <f>SUM(C18:C23)-SUM(B18:B23)</f>
        <v>96.64400000000023</v>
      </c>
      <c r="D24" s="23">
        <f>SUM(D19:D23)</f>
        <v>11.080499999999944</v>
      </c>
      <c r="E24" s="31" t="s">
        <v>34</v>
      </c>
      <c r="F24" s="23">
        <f>D24/F18*1000</f>
        <v>44.321999999999775</v>
      </c>
      <c r="G24" s="19" t="s">
        <v>35</v>
      </c>
      <c r="H24" s="27">
        <f>-D24*H23*1000</f>
        <v>-4.432199999999979</v>
      </c>
    </row>
    <row r="26" spans="1:7" ht="14.25">
      <c r="A26" s="7" t="s">
        <v>36</v>
      </c>
      <c r="B26" s="8">
        <f>C27-B27</f>
        <v>8</v>
      </c>
      <c r="C26" s="8" t="s">
        <v>28</v>
      </c>
      <c r="D26" s="8">
        <v>10.81</v>
      </c>
      <c r="E26" s="8" t="s">
        <v>37</v>
      </c>
      <c r="F26" s="8" t="s">
        <v>38</v>
      </c>
      <c r="G26" s="8">
        <v>5</v>
      </c>
    </row>
    <row r="27" spans="1:7" ht="14.25">
      <c r="A27" s="10" t="s">
        <v>39</v>
      </c>
      <c r="B27" s="11">
        <v>43310</v>
      </c>
      <c r="C27" s="11">
        <v>43318</v>
      </c>
      <c r="D27" s="14" t="s">
        <v>31</v>
      </c>
      <c r="E27" s="14" t="s">
        <v>5</v>
      </c>
      <c r="F27" s="14" t="s">
        <v>40</v>
      </c>
      <c r="G27" s="14" t="s">
        <v>41</v>
      </c>
    </row>
    <row r="28" spans="1:9" ht="14.25">
      <c r="A28" s="2" t="s">
        <v>19</v>
      </c>
      <c r="B28">
        <v>1313.869</v>
      </c>
      <c r="C28">
        <v>1328.732</v>
      </c>
      <c r="D28">
        <f>(C28-B28)/$B$26</f>
        <v>1.857875000000007</v>
      </c>
      <c r="E28">
        <f>D28*$D$26</f>
        <v>20.083628750000077</v>
      </c>
      <c r="F28" s="29">
        <f>C28-B28</f>
        <v>14.863000000000056</v>
      </c>
      <c r="G28" s="32">
        <f>F28*G26</f>
        <v>74.31500000000028</v>
      </c>
      <c r="H28" t="s">
        <v>42</v>
      </c>
      <c r="I28">
        <v>0.1998</v>
      </c>
    </row>
    <row r="29" spans="1:9" ht="14.25">
      <c r="A29" s="21" t="s">
        <v>22</v>
      </c>
      <c r="B29" s="22"/>
      <c r="C29" s="22"/>
      <c r="D29" s="23">
        <f>SUM(D28:D28)</f>
        <v>1.857875000000007</v>
      </c>
      <c r="E29" s="23">
        <f>SUM(E28:E28)</f>
        <v>20.083628750000077</v>
      </c>
      <c r="F29" s="23">
        <f>SUM(F28:F28)</f>
        <v>14.863000000000056</v>
      </c>
      <c r="H29" s="19" t="s">
        <v>35</v>
      </c>
      <c r="I29" s="27">
        <f>-I28*E29*B26</f>
        <v>-32.10167219400012</v>
      </c>
    </row>
    <row r="31" spans="8:9" ht="14.25">
      <c r="H31" t="s">
        <v>43</v>
      </c>
      <c r="I31" s="27">
        <f>G14+H24+I29</f>
        <v>-15.7338721940001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2009-08-10T16:57:24Z</cp:lastPrinted>
  <dcterms:created xsi:type="dcterms:W3CDTF">2009-08-10T15:10:29Z</dcterms:created>
  <dcterms:modified xsi:type="dcterms:W3CDTF">2018-08-06T18:25:41Z</dcterms:modified>
  <cp:category/>
  <cp:version/>
  <cp:contentType/>
  <cp:contentStatus/>
  <cp:revision>67</cp:revision>
</cp:coreProperties>
</file>