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otprint2014" sheetId="1" r:id="rId1"/>
    <sheet name="festival2018" sheetId="2" r:id="rId2"/>
    <sheet name="festival2017" sheetId="3" r:id="rId3"/>
    <sheet name="economia2014" sheetId="4" r:id="rId4"/>
    <sheet name="festival2014" sheetId="5" r:id="rId5"/>
    <sheet name="elettrica2012" sheetId="6" r:id="rId6"/>
    <sheet name="festival2011" sheetId="7" r:id="rId7"/>
    <sheet name="festival2009" sheetId="8" r:id="rId8"/>
  </sheets>
  <definedNames/>
  <calcPr fullCalcOnLoad="1"/>
</workbook>
</file>

<file path=xl/sharedStrings.xml><?xml version="1.0" encoding="utf-8"?>
<sst xmlns="http://schemas.openxmlformats.org/spreadsheetml/2006/main" count="535" uniqueCount="291">
  <si>
    <t>Footprint 2014</t>
  </si>
  <si>
    <t>a week in october in granara</t>
  </si>
  <si>
    <t>Electricity surveys</t>
  </si>
  <si>
    <t>kwh</t>
  </si>
  <si>
    <t>giorni:</t>
  </si>
  <si>
    <t>Total kwh/day</t>
  </si>
  <si>
    <t>prelievi</t>
  </si>
  <si>
    <t>immissioni</t>
  </si>
  <si>
    <t>produzione</t>
  </si>
  <si>
    <t>immissione</t>
  </si>
  <si>
    <t>prelievo diretto fv</t>
  </si>
  <si>
    <t>consumo totale</t>
  </si>
  <si>
    <t>sabbadini</t>
  </si>
  <si>
    <t>testini</t>
  </si>
  <si>
    <t>bertolo</t>
  </si>
  <si>
    <t>del genio</t>
  </si>
  <si>
    <t>tettoiaFV</t>
  </si>
  <si>
    <t>guizzi</t>
  </si>
  <si>
    <t>santos</t>
  </si>
  <si>
    <t>totaro</t>
  </si>
  <si>
    <t>iomini</t>
  </si>
  <si>
    <t>tot</t>
  </si>
  <si>
    <t>balance</t>
  </si>
  <si>
    <t>kwh/day energy in grid</t>
  </si>
  <si>
    <t>avg people (dario gio rossana angela chiara andrea janez petra 0,2 felix5 0,5 andrea 0,2javi2 0,2 annaste2)</t>
  </si>
  <si>
    <t>per person</t>
  </si>
  <si>
    <t>Consumption without PV (kwh/day/person)</t>
  </si>
  <si>
    <t>AVG house in italy</t>
  </si>
  <si>
    <t>person</t>
  </si>
  <si>
    <t>kwh/d/p</t>
  </si>
  <si>
    <t>AVG hotel ENEA Report RSE/2009/162 http://www.enea.it/it/Ricerca_sviluppo/documenti/ricerca-di-sistema-elettrico/condizionamento/rse162.pdf</t>
  </si>
  <si>
    <t>Kwh/year/room</t>
  </si>
  <si>
    <t>Cost €/year/p</t>
  </si>
  <si>
    <t>kg/kwhel</t>
  </si>
  <si>
    <t>positive</t>
  </si>
  <si>
    <t>c02 (Kg/p/year) avoided</t>
  </si>
  <si>
    <t>Gas surveys</t>
  </si>
  <si>
    <t>days</t>
  </si>
  <si>
    <t>kwh/mc</t>
  </si>
  <si>
    <t>Mc (gpl per kitchen)</t>
  </si>
  <si>
    <t>Total mc/day</t>
  </si>
  <si>
    <t>avg people (chiara andrea janez petra 0,2javi2 0,2 annaste2)</t>
  </si>
  <si>
    <t>kg/kwhterm</t>
  </si>
  <si>
    <t>negative impact</t>
  </si>
  <si>
    <t>Co2 (kg/p/year)</t>
  </si>
  <si>
    <t>Wood surveys</t>
  </si>
  <si>
    <t>kWh/kg</t>
  </si>
  <si>
    <t>Kg/year</t>
  </si>
  <si>
    <t>Total kwh/year</t>
  </si>
  <si>
    <t>granaio</t>
  </si>
  <si>
    <t>tot kg wood</t>
  </si>
  <si>
    <t>al kg</t>
  </si>
  <si>
    <t>excomune</t>
  </si>
  <si>
    <t>liter chainsaw</t>
  </si>
  <si>
    <t>liter tractor</t>
  </si>
  <si>
    <t>avg people (dario javi chiara andrea 0,4 fulvio 0,2 annaste2 0,2 granaio2 1comune 0,5mica)</t>
  </si>
  <si>
    <t>per day</t>
  </si>
  <si>
    <t>http://www.sunearthtools.com/it/tools/CO2-emissions-calculator.php</t>
  </si>
  <si>
    <t>granara Co2/kg wood</t>
  </si>
  <si>
    <t>mc/year</t>
  </si>
  <si>
    <t>kg/Lt benzine</t>
  </si>
  <si>
    <t>Heat and kitchen</t>
  </si>
  <si>
    <t>kg/Lt gasoil</t>
  </si>
  <si>
    <t>Waste</t>
  </si>
  <si>
    <t>kg/mc</t>
  </si>
  <si>
    <t>other data</t>
  </si>
  <si>
    <t>mc</t>
  </si>
  <si>
    <t>Total kg/day</t>
  </si>
  <si>
    <t>black</t>
  </si>
  <si>
    <t>paper</t>
  </si>
  <si>
    <t>separated</t>
  </si>
  <si>
    <t>plastic</t>
  </si>
  <si>
    <t>Compost (stima)</t>
  </si>
  <si>
    <t>tot bidoni</t>
  </si>
  <si>
    <t>per person black</t>
  </si>
  <si>
    <t>per year black</t>
  </si>
  <si>
    <t>Kg/p/year</t>
  </si>
  <si>
    <t>% separated</t>
  </si>
  <si>
    <t>Avg Cost €/kg</t>
  </si>
  <si>
    <t>kg/kgwasteblack http://www.cooperica.it/pubblicazioni/Pubblicazioni%20tecnico-scientifiche/Rifiuti%20e%20cambiamento%20climatico.pdf%2FPubblicazioni%2520tecnico-scientifiche%2FRifiuti%2520e%2520cambiamento%2520climatico.pdf&amp;ei=UFQ6VJymM5DUaomogIgM&amp;usg=AFQjCNGvs1weznUESj0V2gfHu4fqSRUy0A&amp;bvm=bv.77161500,d.d2s)</t>
  </si>
  <si>
    <t>water (L)</t>
  </si>
  <si>
    <t>avg people (dario gio rossana angela chiara andrea janez petra 0,2 felix5 0,5 andrea 0,2 annaste2)</t>
  </si>
  <si>
    <t>liter per person a day</t>
  </si>
  <si>
    <t>L/day</t>
  </si>
  <si>
    <t>liter/day/person</t>
  </si>
  <si>
    <t>Avg Cost €/mc italy (&gt;200mc year)</t>
  </si>
  <si>
    <t>Granara Cost €/mc (&gt;200mc year)</t>
  </si>
  <si>
    <t>kg/liter</t>
  </si>
  <si>
    <t>mobility (km)</t>
  </si>
  <si>
    <t>holiday of a family in a week</t>
  </si>
  <si>
    <t>km</t>
  </si>
  <si>
    <t>time</t>
  </si>
  <si>
    <t>take and leave (station)</t>
  </si>
  <si>
    <t>shop</t>
  </si>
  <si>
    <t>trip at sea (station)</t>
  </si>
  <si>
    <t>avg people</t>
  </si>
  <si>
    <t>km per person a day</t>
  </si>
  <si>
    <t>A year</t>
  </si>
  <si>
    <t>AVG km italy</t>
  </si>
  <si>
    <t>km/year/auto</t>
  </si>
  <si>
    <t>Avg Cost €/km (benzina)</t>
  </si>
  <si>
    <t>Granara Cost €/km (metano)</t>
  </si>
  <si>
    <t>kg/km</t>
  </si>
  <si>
    <t>CO2 balance</t>
  </si>
  <si>
    <t>food</t>
  </si>
  <si>
    <t>%</t>
  </si>
  <si>
    <t>per week</t>
  </si>
  <si>
    <t>Scenario</t>
  </si>
  <si>
    <t>Descrizione scenario</t>
  </si>
  <si>
    <t>Cibo disponibile sul mercato (kg pro capite all’anno)</t>
  </si>
  <si>
    <t>Cibo effettivamente consumato (kg pro capite all’anno)</t>
  </si>
  <si>
    <t>Introito energetico
(kcal pro capite al giorno)</t>
  </si>
  <si>
    <r>
      <rPr>
        <sz val="10"/>
        <rFont val="Arial"/>
        <family val="2"/>
      </rPr>
      <t>IC della dieta
(kgCO</t>
    </r>
    <r>
      <rPr>
        <b/>
        <vertAlign val="subscript"/>
        <sz val="9"/>
        <color indexed="8"/>
        <rFont val="Times New Roman"/>
        <family val="1"/>
      </rPr>
      <t>2</t>
    </r>
    <r>
      <rPr>
        <sz val="10"/>
        <rFont val="Arial"/>
        <family val="2"/>
      </rPr>
      <t>e pro capite al giorno)</t>
    </r>
  </si>
  <si>
    <t>Riduzione % rispetto alla baseline</t>
  </si>
  <si>
    <t>Kg CO2 eq/p/year</t>
  </si>
  <si>
    <t>from granara</t>
  </si>
  <si>
    <t>Baseline</t>
  </si>
  <si>
    <t>Sistema attuale</t>
  </si>
  <si>
    <t>-</t>
  </si>
  <si>
    <t>from local</t>
  </si>
  <si>
    <t>Baseline-R0</t>
  </si>
  <si>
    <r>
      <rPr>
        <sz val="10"/>
        <rFont val="Arial"/>
        <family val="2"/>
      </rPr>
      <t xml:space="preserve">Dieta attuale eliminando il </t>
    </r>
    <r>
      <rPr>
        <i/>
        <sz val="10"/>
        <rFont val="Times New Roman"/>
        <family val="1"/>
      </rPr>
      <t>food waste</t>
    </r>
    <r>
      <rPr>
        <sz val="10"/>
        <rFont val="Arial"/>
        <family val="2"/>
      </rPr>
      <t xml:space="preserve"> post produzione (retailer e consumatori)</t>
    </r>
  </si>
  <si>
    <t>from outside</t>
  </si>
  <si>
    <t>http://it.wikipedia.org/wiki/Impatto_ambientale_dell'industria_dei_cibi_animali</t>
  </si>
  <si>
    <t>Scenario 1</t>
  </si>
  <si>
    <t>Sistema attuale sostituendo la carne di bovino con la carne avicola</t>
  </si>
  <si>
    <t>meat</t>
  </si>
  <si>
    <t>kg/day vegani</t>
  </si>
  <si>
    <t>Scenario 1-R0</t>
  </si>
  <si>
    <r>
      <rPr>
        <sz val="10"/>
        <rFont val="Arial"/>
        <family val="2"/>
      </rPr>
      <t xml:space="preserve">Come scenario 1 eliminando il </t>
    </r>
    <r>
      <rPr>
        <i/>
        <sz val="10"/>
        <rFont val="Times New Roman"/>
        <family val="1"/>
      </rPr>
      <t>food waste</t>
    </r>
    <r>
      <rPr>
        <sz val="10"/>
        <rFont val="Arial"/>
        <family val="2"/>
      </rPr>
      <t xml:space="preserve"> post produzione (retailer e consumatori)</t>
    </r>
  </si>
  <si>
    <t>AVG % italy</t>
  </si>
  <si>
    <t>kg/day vegetariani</t>
  </si>
  <si>
    <t>Scenario 2</t>
  </si>
  <si>
    <t>Cambio dieta da attuale a mediterranea</t>
  </si>
  <si>
    <t>FAOSTAT</t>
  </si>
  <si>
    <t>kg/day carnivoro</t>
  </si>
  <si>
    <t>Scenario 2-R0</t>
  </si>
  <si>
    <r>
      <rPr>
        <sz val="10"/>
        <rFont val="Arial"/>
        <family val="2"/>
      </rPr>
      <t xml:space="preserve">Come scenario 2 eliminando il </t>
    </r>
    <r>
      <rPr>
        <i/>
        <sz val="10"/>
        <rFont val="Times New Roman"/>
        <family val="1"/>
      </rPr>
      <t>food waste</t>
    </r>
    <r>
      <rPr>
        <sz val="10"/>
        <rFont val="Arial"/>
        <family val="2"/>
      </rPr>
      <t xml:space="preserve"> post produzione (retailer e consumatori)</t>
    </r>
  </si>
  <si>
    <t>!!!!</t>
  </si>
  <si>
    <t>Scenario 3</t>
  </si>
  <si>
    <t>Cambio dieta da attuale a vegetariana</t>
  </si>
  <si>
    <t>Scenario 3-R0</t>
  </si>
  <si>
    <r>
      <rPr>
        <sz val="10"/>
        <rFont val="Arial"/>
        <family val="2"/>
      </rPr>
      <t xml:space="preserve">Come scenario 3 eliminando il </t>
    </r>
    <r>
      <rPr>
        <i/>
        <sz val="10"/>
        <rFont val="Times New Roman"/>
        <family val="1"/>
      </rPr>
      <t>food waste</t>
    </r>
    <r>
      <rPr>
        <sz val="10"/>
        <rFont val="Arial"/>
        <family val="2"/>
      </rPr>
      <t xml:space="preserve"> post produzione (retailer e consumatori)</t>
    </r>
  </si>
  <si>
    <t>Festival 2018</t>
  </si>
  <si>
    <t>costo /kwh</t>
  </si>
  <si>
    <t>day</t>
  </si>
  <si>
    <t>giorni</t>
  </si>
  <si>
    <t>consumo/gg</t>
  </si>
  <si>
    <t>costo consumo</t>
  </si>
  <si>
    <t>montalto</t>
  </si>
  <si>
    <t>bilancio</t>
  </si>
  <si>
    <t>Sovraproduzione totale</t>
  </si>
  <si>
    <t>c02 (Kg) avoided</t>
  </si>
  <si>
    <t>Costo €/mc (&gt;200mc year)</t>
  </si>
  <si>
    <t>persone</t>
  </si>
  <si>
    <t>152 mc/ab.rif. Ordinanza</t>
  </si>
  <si>
    <t>kg Co2/liter</t>
  </si>
  <si>
    <t>Cost €/mc</t>
  </si>
  <si>
    <t>consumo (mc)</t>
  </si>
  <si>
    <t>costo</t>
  </si>
  <si>
    <t>Bilancio totale</t>
  </si>
  <si>
    <t>Festival 2017</t>
  </si>
  <si>
    <t>buildings</t>
  </si>
  <si>
    <t>mq</t>
  </si>
  <si>
    <t>all</t>
  </si>
  <si>
    <t>todo</t>
  </si>
  <si>
    <t>casa comune</t>
  </si>
  <si>
    <t>e</t>
  </si>
  <si>
    <t>gae</t>
  </si>
  <si>
    <t>france</t>
  </si>
  <si>
    <t>giov</t>
  </si>
  <si>
    <t>rossana</t>
  </si>
  <si>
    <t>javier</t>
  </si>
  <si>
    <t>ste</t>
  </si>
  <si>
    <t>laurat</t>
  </si>
  <si>
    <t>new</t>
  </si>
  <si>
    <t>container</t>
  </si>
  <si>
    <t>Tettoia fv</t>
  </si>
  <si>
    <t>casotto</t>
  </si>
  <si>
    <t>circo</t>
  </si>
  <si>
    <t>stalla granera</t>
  </si>
  <si>
    <t>people</t>
  </si>
  <si>
    <t>number activity</t>
  </si>
  <si>
    <t>activity</t>
  </si>
  <si>
    <t>per year</t>
  </si>
  <si>
    <t>In 15 year</t>
  </si>
  <si>
    <t>festival</t>
  </si>
  <si>
    <t>campi 100passi</t>
  </si>
  <si>
    <t>seminari</t>
  </si>
  <si>
    <t>campo sci</t>
  </si>
  <si>
    <t>campi lavoro</t>
  </si>
  <si>
    <t>generali</t>
  </si>
  <si>
    <t>fme</t>
  </si>
  <si>
    <t>social teens</t>
  </si>
  <si>
    <t>In 20 year</t>
  </si>
  <si>
    <t>teens</t>
  </si>
  <si>
    <t>economy</t>
  </si>
  <si>
    <t>rebuild</t>
  </si>
  <si>
    <t>buy</t>
  </si>
  <si>
    <t>keuro</t>
  </si>
  <si>
    <t>total</t>
  </si>
  <si>
    <t>buy fields</t>
  </si>
  <si>
    <t>ha</t>
  </si>
  <si>
    <t>avg keuro per ha</t>
  </si>
  <si>
    <t>in (entrate per attività) annue</t>
  </si>
  <si>
    <t>out (spese quindi economia creata) annue</t>
  </si>
  <si>
    <t>keuro economia immessa (out)</t>
  </si>
  <si>
    <t>totale</t>
  </si>
  <si>
    <t>geco</t>
  </si>
  <si>
    <t>teatro</t>
  </si>
  <si>
    <t>100passi</t>
  </si>
  <si>
    <t>granera</t>
  </si>
  <si>
    <t>gatt</t>
  </si>
  <si>
    <t>Total invested</t>
  </si>
  <si>
    <t>Per year</t>
  </si>
  <si>
    <t>voluntary work</t>
  </si>
  <si>
    <t>number vol.</t>
  </si>
  <si>
    <t>avg h per year</t>
  </si>
  <si>
    <t>Per 20 years</t>
  </si>
  <si>
    <t>Per 6 euro/h</t>
  </si>
  <si>
    <t>total economy</t>
  </si>
  <si>
    <t>found</t>
  </si>
  <si>
    <t>less than</t>
  </si>
  <si>
    <t>Festival 2014</t>
  </si>
  <si>
    <t>tutto festival</t>
  </si>
  <si>
    <t>media prelievi (kwh/g)</t>
  </si>
  <si>
    <t>tettoia</t>
  </si>
  <si>
    <t>Conclusioni:</t>
  </si>
  <si>
    <t>energia prelevata</t>
  </si>
  <si>
    <t>energia immessa</t>
  </si>
  <si>
    <t>tutto il villaggio</t>
  </si>
  <si>
    <t>positivo</t>
  </si>
  <si>
    <t>luoghi principali del festival (circo obelix tettoia granaio)</t>
  </si>
  <si>
    <t>Calcolo energetico elettrico al 2012</t>
  </si>
  <si>
    <t>attuali</t>
  </si>
  <si>
    <t>precedenti</t>
  </si>
  <si>
    <t>annuo</t>
  </si>
  <si>
    <t>data precedente</t>
  </si>
  <si>
    <t>rilievo dall'allaccio</t>
  </si>
  <si>
    <t>prelievo diretto</t>
  </si>
  <si>
    <t>impianto (kwp)</t>
  </si>
  <si>
    <t>picco allacci</t>
  </si>
  <si>
    <t>dariogrumodavid</t>
  </si>
  <si>
    <t>gaelaura</t>
  </si>
  <si>
    <t>tiboranna</t>
  </si>
  <si>
    <t>giomonica</t>
  </si>
  <si>
    <t>granaio stefano</t>
  </si>
  <si>
    <t>risparmio diretto in bolletta a:</t>
  </si>
  <si>
    <t>annue</t>
  </si>
  <si>
    <t>chiarafulvio</t>
  </si>
  <si>
    <t>rossanacamillo</t>
  </si>
  <si>
    <t>officina fv</t>
  </si>
  <si>
    <t>totali</t>
  </si>
  <si>
    <t>6 impianti fotovoltaici allacciati</t>
  </si>
  <si>
    <t>kwh produzione annua</t>
  </si>
  <si>
    <t>9 utenze allacciate</t>
  </si>
  <si>
    <t>kwh consumo annuo</t>
  </si>
  <si>
    <t>surplus energetico del villaggio</t>
  </si>
  <si>
    <t>kg co2</t>
  </si>
  <si>
    <t>Festival 2011</t>
  </si>
  <si>
    <t>euro (€/kwh)</t>
  </si>
  <si>
    <t>consumi</t>
  </si>
  <si>
    <t>totale immissioni solari</t>
  </si>
  <si>
    <t>media oraria</t>
  </si>
  <si>
    <t>media giornaliera</t>
  </si>
  <si>
    <t>Il consumo totale del festival 2011 considerando anche le case utilizzate:</t>
  </si>
  <si>
    <t>Energia immessa dal 2009 in più in rete rispetto a quella consumata dalle 3 case connesse con le attività:</t>
  </si>
  <si>
    <t>Festival 2009</t>
  </si>
  <si>
    <t>consumo (kwh)</t>
  </si>
  <si>
    <t>Cont. 380V</t>
  </si>
  <si>
    <t>Cont. bertolo prelievi</t>
  </si>
  <si>
    <t>Cont. bertolo immissioni</t>
  </si>
  <si>
    <t>Cont. sabbadini prelievi</t>
  </si>
  <si>
    <t>Cont. sabbadini immissioni</t>
  </si>
  <si>
    <t>Cont. Stalla</t>
  </si>
  <si>
    <t>Cont. guizzi (granaio)</t>
  </si>
  <si>
    <t>Cont. montalto</t>
  </si>
  <si>
    <t>Tot giornaliero</t>
  </si>
  <si>
    <t>euro</t>
  </si>
  <si>
    <t>totale da inizio festival</t>
  </si>
  <si>
    <t>produzione (kwh)</t>
  </si>
  <si>
    <t>compensazione</t>
  </si>
  <si>
    <t>giorno</t>
  </si>
  <si>
    <t>distribuzione consumo</t>
  </si>
  <si>
    <t>spettacolo luci</t>
  </si>
  <si>
    <t>granaio+audio circo</t>
  </si>
  <si>
    <t>luci serali</t>
  </si>
  <si>
    <t>luci notte</t>
  </si>
  <si>
    <t>bar</t>
  </si>
  <si>
    <t>quercia+palco+lab circo</t>
  </si>
  <si>
    <t>distribuzione oraria 6/8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</si>
</sst>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0"/>
    <numFmt numFmtId="167" formatCode="0.000"/>
    <numFmt numFmtId="168" formatCode="0.00"/>
    <numFmt numFmtId="169" formatCode="[$€-410]\ #,##0.00;[RED]\-[$€-410]\ #,##0.00"/>
    <numFmt numFmtId="170" formatCode="#,##0.000;[RED]\-#,##0.000"/>
    <numFmt numFmtId="171" formatCode="0%"/>
    <numFmt numFmtId="172" formatCode="0.00%"/>
    <numFmt numFmtId="173" formatCode="#,##0;[RED]\-#,##0"/>
    <numFmt numFmtId="174" formatCode="HH:MM"/>
  </numFmts>
  <fonts count="1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vertAlign val="subscript"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23"/>
      <name val="Arial"/>
      <family val="2"/>
    </font>
    <font>
      <i/>
      <sz val="10"/>
      <name val="Times New Roman"/>
      <family val="1"/>
    </font>
    <font>
      <b/>
      <sz val="11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8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1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4" fontId="3" fillId="3" borderId="0" xfId="0" applyFont="1" applyFill="1" applyAlignment="1">
      <alignment/>
    </xf>
    <xf numFmtId="165" fontId="3" fillId="3" borderId="0" xfId="0" applyNumberFormat="1" applyFont="1" applyFill="1" applyAlignment="1">
      <alignment horizontal="right"/>
    </xf>
    <xf numFmtId="164" fontId="0" fillId="3" borderId="0" xfId="0" applyFont="1" applyFill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1" xfId="0" applyFont="1" applyBorder="1" applyAlignment="1">
      <alignment horizontal="right"/>
    </xf>
    <xf numFmtId="164" fontId="0" fillId="0" borderId="1" xfId="0" applyBorder="1" applyAlignment="1">
      <alignment/>
    </xf>
    <xf numFmtId="167" fontId="1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2" xfId="0" applyFont="1" applyBorder="1" applyAlignment="1">
      <alignment/>
    </xf>
    <xf numFmtId="167" fontId="1" fillId="0" borderId="0" xfId="0" applyNumberFormat="1" applyFont="1" applyAlignment="1">
      <alignment/>
    </xf>
    <xf numFmtId="167" fontId="1" fillId="4" borderId="0" xfId="0" applyNumberFormat="1" applyFont="1" applyFill="1" applyAlignment="1">
      <alignment/>
    </xf>
    <xf numFmtId="164" fontId="4" fillId="0" borderId="0" xfId="0" applyFont="1" applyAlignment="1">
      <alignment/>
    </xf>
    <xf numFmtId="169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70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4" fontId="6" fillId="0" borderId="0" xfId="0" applyFont="1" applyAlignment="1">
      <alignment/>
    </xf>
    <xf numFmtId="166" fontId="1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4" borderId="1" xfId="0" applyFont="1" applyFill="1" applyBorder="1" applyAlignment="1">
      <alignment/>
    </xf>
    <xf numFmtId="167" fontId="0" fillId="4" borderId="1" xfId="0" applyNumberFormat="1" applyFont="1" applyFill="1" applyBorder="1" applyAlignment="1">
      <alignment/>
    </xf>
    <xf numFmtId="167" fontId="0" fillId="4" borderId="1" xfId="0" applyNumberFormat="1" applyFill="1" applyBorder="1" applyAlignment="1">
      <alignment/>
    </xf>
    <xf numFmtId="164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7" fillId="0" borderId="3" xfId="0" applyFont="1" applyBorder="1" applyAlignment="1">
      <alignment/>
    </xf>
    <xf numFmtId="164" fontId="7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4" fontId="7" fillId="0" borderId="4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72" fontId="9" fillId="0" borderId="4" xfId="0" applyNumberFormat="1" applyFont="1" applyBorder="1" applyAlignment="1">
      <alignment horizontal="center"/>
    </xf>
    <xf numFmtId="167" fontId="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5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9" fontId="0" fillId="2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9" fontId="0" fillId="0" borderId="1" xfId="0" applyNumberFormat="1" applyFill="1" applyBorder="1" applyAlignment="1">
      <alignment/>
    </xf>
    <xf numFmtId="164" fontId="0" fillId="0" borderId="1" xfId="0" applyFont="1" applyBorder="1" applyAlignment="1">
      <alignment/>
    </xf>
    <xf numFmtId="170" fontId="1" fillId="5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7" fontId="0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2" xfId="0" applyBorder="1" applyAlignment="1">
      <alignment/>
    </xf>
    <xf numFmtId="164" fontId="1" fillId="0" borderId="2" xfId="0" applyFont="1" applyBorder="1" applyAlignment="1">
      <alignment/>
    </xf>
    <xf numFmtId="169" fontId="1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9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6" xfId="0" applyBorder="1" applyAlignment="1">
      <alignment/>
    </xf>
    <xf numFmtId="169" fontId="1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12" fillId="0" borderId="4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4" fontId="0" fillId="0" borderId="5" xfId="0" applyNumberFormat="1" applyBorder="1" applyAlignment="1">
      <alignment/>
    </xf>
    <xf numFmtId="173" fontId="0" fillId="0" borderId="0" xfId="0" applyNumberFormat="1" applyAlignment="1">
      <alignment/>
    </xf>
    <xf numFmtId="168" fontId="0" fillId="0" borderId="1" xfId="0" applyNumberFormat="1" applyFont="1" applyBorder="1" applyAlignment="1">
      <alignment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center" wrapText="1"/>
    </xf>
    <xf numFmtId="164" fontId="0" fillId="0" borderId="4" xfId="0" applyBorder="1" applyAlignment="1">
      <alignment horizontal="right"/>
    </xf>
    <xf numFmtId="164" fontId="1" fillId="0" borderId="4" xfId="0" applyFont="1" applyBorder="1" applyAlignment="1">
      <alignment horizontal="right"/>
    </xf>
    <xf numFmtId="164" fontId="13" fillId="0" borderId="4" xfId="0" applyFont="1" applyBorder="1" applyAlignment="1">
      <alignment/>
    </xf>
    <xf numFmtId="164" fontId="0" fillId="0" borderId="4" xfId="0" applyBorder="1" applyAlignment="1">
      <alignment horizontal="right" wrapText="1"/>
    </xf>
    <xf numFmtId="164" fontId="1" fillId="0" borderId="4" xfId="0" applyFont="1" applyBorder="1" applyAlignment="1">
      <alignment horizontal="right" wrapText="1"/>
    </xf>
    <xf numFmtId="164" fontId="14" fillId="0" borderId="0" xfId="0" applyFont="1" applyAlignment="1">
      <alignment/>
    </xf>
    <xf numFmtId="164" fontId="0" fillId="0" borderId="0" xfId="0" applyBorder="1" applyAlignment="1">
      <alignment/>
    </xf>
    <xf numFmtId="166" fontId="0" fillId="0" borderId="2" xfId="0" applyNumberFormat="1" applyFont="1" applyBorder="1" applyAlignment="1">
      <alignment/>
    </xf>
    <xf numFmtId="164" fontId="0" fillId="0" borderId="0" xfId="0" applyFont="1" applyFill="1" applyAlignment="1">
      <alignment/>
    </xf>
    <xf numFmtId="164" fontId="0" fillId="0" borderId="6" xfId="0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6" borderId="0" xfId="0" applyFont="1" applyFill="1" applyAlignment="1">
      <alignment/>
    </xf>
    <xf numFmtId="164" fontId="0" fillId="6" borderId="2" xfId="0" applyFont="1" applyFill="1" applyBorder="1" applyAlignment="1">
      <alignment/>
    </xf>
    <xf numFmtId="164" fontId="0" fillId="6" borderId="8" xfId="0" applyNumberFormat="1" applyFill="1" applyBorder="1" applyAlignment="1">
      <alignment/>
    </xf>
    <xf numFmtId="169" fontId="0" fillId="6" borderId="0" xfId="0" applyNumberFormat="1" applyFill="1" applyAlignment="1">
      <alignment/>
    </xf>
    <xf numFmtId="164" fontId="0" fillId="0" borderId="5" xfId="0" applyBorder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33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.27925"/>
          <c:w val="0.876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12121"/>
                  </a:solidFill>
                </c14:spPr>
              </c14:invertSolidFillFmt>
            </c:ext>
          </c:extLst>
          <c:cat>
            <c:strRef>
              <c:f>festival2009!$A$25:$A$30</c:f>
              <c:strCache/>
            </c:strRef>
          </c:cat>
          <c:val>
            <c:numRef>
              <c:f>festival2009!$D$25:$D$30</c:f>
              <c:numCache/>
            </c:numRef>
          </c:val>
        </c:ser>
        <c:gapWidth val="100"/>
        <c:axId val="66359178"/>
        <c:axId val="60361691"/>
      </c:bar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1691"/>
        <c:crossesAt val="0"/>
        <c:auto val="0"/>
        <c:lblOffset val="100"/>
        <c:noMultiLvlLbl val="0"/>
      </c:catAx>
      <c:valAx>
        <c:axId val="6036169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917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2415"/>
          <c:w val="0.897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12121"/>
                  </a:solidFill>
                </c14:spPr>
              </c14:invertSolidFillFmt>
            </c:ext>
          </c:extLst>
          <c:cat>
            <c:strRef>
              <c:f>festival2009!$A$34:$A$50</c:f>
              <c:strCache/>
            </c:strRef>
          </c:cat>
          <c:val>
            <c:numRef>
              <c:f>festival2009!$B$34:$B$50</c:f>
              <c:numCache/>
            </c:numRef>
          </c:val>
        </c:ser>
        <c:gapWidth val="100"/>
        <c:axId val="6384308"/>
        <c:axId val="57458773"/>
      </c:bar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8773"/>
        <c:crossesAt val="0"/>
        <c:auto val="0"/>
        <c:lblOffset val="100"/>
        <c:noMultiLvlLbl val="0"/>
      </c:catAx>
      <c:valAx>
        <c:axId val="5745877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430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23</xdr:row>
      <xdr:rowOff>85725</xdr:rowOff>
    </xdr:from>
    <xdr:to>
      <xdr:col>9</xdr:col>
      <xdr:colOff>742950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810000" y="3619500"/>
        <a:ext cx="4562475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85725</xdr:rowOff>
    </xdr:from>
    <xdr:to>
      <xdr:col>10</xdr:col>
      <xdr:colOff>38100</xdr:colOff>
      <xdr:row>42</xdr:row>
      <xdr:rowOff>76200</xdr:rowOff>
    </xdr:to>
    <xdr:graphicFrame>
      <xdr:nvGraphicFramePr>
        <xdr:cNvPr id="2" name="Chart 2"/>
        <xdr:cNvGraphicFramePr/>
      </xdr:nvGraphicFramePr>
      <xdr:xfrm>
        <a:off x="2371725" y="5000625"/>
        <a:ext cx="6067425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workbookViewId="0" topLeftCell="A19">
      <selection activeCell="L42" sqref="L42"/>
    </sheetView>
  </sheetViews>
  <sheetFormatPr defaultColWidth="11.421875" defaultRowHeight="12.75"/>
  <cols>
    <col min="1" max="1" width="11.57421875" style="0" customWidth="1"/>
    <col min="2" max="2" width="8.57421875" style="0" customWidth="1"/>
    <col min="3" max="3" width="8.8515625" style="0" customWidth="1"/>
    <col min="4" max="4" width="9.421875" style="0" customWidth="1"/>
    <col min="5" max="5" width="8.00390625" style="0" customWidth="1"/>
    <col min="6" max="6" width="8.8515625" style="0" customWidth="1"/>
    <col min="7" max="7" width="9.421875" style="0" customWidth="1"/>
    <col min="8" max="14" width="11.57421875" style="0" customWidth="1"/>
    <col min="15" max="15" width="19.7109375" style="0" customWidth="1"/>
    <col min="16" max="16384" width="11.57421875" style="0" customWidth="1"/>
  </cols>
  <sheetData>
    <row r="1" spans="1:3" ht="14.25">
      <c r="A1" s="1" t="s">
        <v>0</v>
      </c>
      <c r="C1" s="2" t="s">
        <v>1</v>
      </c>
    </row>
    <row r="2" ht="14.25"/>
    <row r="3" spans="1:12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25">
      <c r="A4" s="5" t="s">
        <v>3</v>
      </c>
      <c r="B4" s="6">
        <v>41915</v>
      </c>
      <c r="C4" s="6"/>
      <c r="D4" s="7"/>
      <c r="E4" s="6">
        <v>41922</v>
      </c>
      <c r="F4" s="8" t="s">
        <v>4</v>
      </c>
      <c r="G4" s="7">
        <v>7</v>
      </c>
      <c r="H4" s="9" t="s">
        <v>5</v>
      </c>
      <c r="I4" s="9"/>
      <c r="J4" s="9"/>
      <c r="K4" s="9"/>
      <c r="L4" s="9"/>
    </row>
    <row r="5" spans="1:12" ht="14.25">
      <c r="A5" s="1"/>
      <c r="B5" s="10" t="s">
        <v>6</v>
      </c>
      <c r="C5" s="10" t="s">
        <v>7</v>
      </c>
      <c r="D5" s="11" t="s">
        <v>8</v>
      </c>
      <c r="E5" s="10" t="s">
        <v>6</v>
      </c>
      <c r="F5" s="10" t="s">
        <v>7</v>
      </c>
      <c r="G5" s="11" t="s">
        <v>8</v>
      </c>
      <c r="H5" s="12" t="s">
        <v>6</v>
      </c>
      <c r="I5" s="12" t="s">
        <v>9</v>
      </c>
      <c r="J5" s="12" t="s">
        <v>8</v>
      </c>
      <c r="K5" s="12" t="s">
        <v>10</v>
      </c>
      <c r="L5" s="12" t="s">
        <v>11</v>
      </c>
    </row>
    <row r="6" spans="1:12" ht="14.25">
      <c r="A6" s="1" t="s">
        <v>12</v>
      </c>
      <c r="B6" s="13">
        <f>841+1727+2790</f>
        <v>5358</v>
      </c>
      <c r="C6" s="13">
        <f>2475+442+486</f>
        <v>3403</v>
      </c>
      <c r="D6" s="11">
        <f>2407+511+5248</f>
        <v>8166</v>
      </c>
      <c r="E6" s="13">
        <f>844+1731+2796</f>
        <v>5371</v>
      </c>
      <c r="F6" s="13">
        <f>2485+446+490</f>
        <v>3421</v>
      </c>
      <c r="G6" s="11">
        <f>2416+516+5253</f>
        <v>8185</v>
      </c>
      <c r="H6" s="14">
        <f aca="true" t="shared" si="0" ref="H6:H14">(E6-B6)/$G$4</f>
        <v>1.8571428571428572</v>
      </c>
      <c r="I6" s="14">
        <f aca="true" t="shared" si="1" ref="I6:I14">(F6-C6)/$G$4</f>
        <v>2.5714285714285716</v>
      </c>
      <c r="J6" s="14">
        <f aca="true" t="shared" si="2" ref="J6:J14">(G6-D6)/$G$4</f>
        <v>2.7142857142857144</v>
      </c>
      <c r="K6" s="14">
        <f aca="true" t="shared" si="3" ref="K6:K14">J6-I6</f>
        <v>0.1428571428571428</v>
      </c>
      <c r="L6" s="15">
        <f aca="true" t="shared" si="4" ref="L6:L14">K6+H6</f>
        <v>2</v>
      </c>
    </row>
    <row r="7" spans="1:12" ht="14.25">
      <c r="A7" s="1" t="s">
        <v>13</v>
      </c>
      <c r="B7" s="13">
        <f>1882+1665+2741</f>
        <v>6288</v>
      </c>
      <c r="C7" s="13"/>
      <c r="D7" s="11"/>
      <c r="E7" s="13">
        <f>1894+1677+2754</f>
        <v>6325</v>
      </c>
      <c r="F7" s="13"/>
      <c r="G7" s="11"/>
      <c r="H7" s="14">
        <f t="shared" si="0"/>
        <v>5.285714285714286</v>
      </c>
      <c r="I7" s="14">
        <f t="shared" si="1"/>
        <v>0</v>
      </c>
      <c r="J7" s="14">
        <f t="shared" si="2"/>
        <v>0</v>
      </c>
      <c r="K7" s="14">
        <f t="shared" si="3"/>
        <v>0</v>
      </c>
      <c r="L7" s="15">
        <f t="shared" si="4"/>
        <v>5.285714285714286</v>
      </c>
    </row>
    <row r="8" spans="1:12" ht="14.25">
      <c r="A8" s="1" t="s">
        <v>14</v>
      </c>
      <c r="B8" s="13">
        <f>363+754+1289</f>
        <v>2406</v>
      </c>
      <c r="C8" s="13">
        <f>3654+736+769</f>
        <v>5159</v>
      </c>
      <c r="D8" s="11">
        <f>4472+967+1029</f>
        <v>6468</v>
      </c>
      <c r="E8" s="13">
        <f>365+758+1295</f>
        <v>2418</v>
      </c>
      <c r="F8" s="13">
        <f>3659+739+772</f>
        <v>5170</v>
      </c>
      <c r="G8" s="11">
        <f>4480+971+1033</f>
        <v>6484</v>
      </c>
      <c r="H8" s="14">
        <f t="shared" si="0"/>
        <v>1.7142857142857142</v>
      </c>
      <c r="I8" s="14">
        <f t="shared" si="1"/>
        <v>1.5714285714285714</v>
      </c>
      <c r="J8" s="14">
        <f t="shared" si="2"/>
        <v>2.2857142857142856</v>
      </c>
      <c r="K8" s="14">
        <f t="shared" si="3"/>
        <v>0.7142857142857142</v>
      </c>
      <c r="L8" s="15">
        <f t="shared" si="4"/>
        <v>2.4285714285714284</v>
      </c>
    </row>
    <row r="9" spans="1:12" ht="14.25">
      <c r="A9" s="1" t="s">
        <v>15</v>
      </c>
      <c r="B9" s="13">
        <f>53+123+166</f>
        <v>342</v>
      </c>
      <c r="C9" s="13">
        <f>3987+819+904</f>
        <v>5710</v>
      </c>
      <c r="D9" s="13">
        <f>3987+819+904</f>
        <v>5710</v>
      </c>
      <c r="E9" s="13">
        <f>53+123+166</f>
        <v>342</v>
      </c>
      <c r="F9" s="13">
        <f>4001+827+911</f>
        <v>5739</v>
      </c>
      <c r="G9" s="13">
        <f>4001+827+911</f>
        <v>5739</v>
      </c>
      <c r="H9" s="14">
        <f t="shared" si="0"/>
        <v>0</v>
      </c>
      <c r="I9" s="14">
        <f t="shared" si="1"/>
        <v>4.142857142857143</v>
      </c>
      <c r="J9" s="14">
        <f t="shared" si="2"/>
        <v>4.142857142857143</v>
      </c>
      <c r="K9" s="14">
        <f t="shared" si="3"/>
        <v>0</v>
      </c>
      <c r="L9" s="15">
        <f t="shared" si="4"/>
        <v>0</v>
      </c>
    </row>
    <row r="10" spans="1:12" ht="14.25">
      <c r="A10" s="1" t="s">
        <v>16</v>
      </c>
      <c r="B10" s="13">
        <f>10+99+168</f>
        <v>277</v>
      </c>
      <c r="C10" s="13">
        <f>33199+7129+7906</f>
        <v>48234</v>
      </c>
      <c r="D10" s="11">
        <f>33409+7207+7967</f>
        <v>48583</v>
      </c>
      <c r="E10" s="13">
        <f>14+99+168</f>
        <v>281</v>
      </c>
      <c r="F10" s="13">
        <f>33313+7195+7972</f>
        <v>48480</v>
      </c>
      <c r="G10" s="11">
        <f>33531+7277+8032</f>
        <v>48840</v>
      </c>
      <c r="H10" s="14">
        <f t="shared" si="0"/>
        <v>0.5714285714285714</v>
      </c>
      <c r="I10" s="14">
        <f t="shared" si="1"/>
        <v>35.142857142857146</v>
      </c>
      <c r="J10" s="14">
        <f t="shared" si="2"/>
        <v>36.714285714285715</v>
      </c>
      <c r="K10" s="14">
        <f t="shared" si="3"/>
        <v>1.5714285714285694</v>
      </c>
      <c r="L10" s="15">
        <f t="shared" si="4"/>
        <v>2.1428571428571406</v>
      </c>
    </row>
    <row r="11" spans="1:12" ht="14.25">
      <c r="A11" s="1" t="s">
        <v>17</v>
      </c>
      <c r="B11" s="13">
        <f>1209+2531+3935</f>
        <v>7675</v>
      </c>
      <c r="C11" s="13">
        <f>9113+1781+1775</f>
        <v>12669</v>
      </c>
      <c r="D11" s="11">
        <f>11568+2727+2726</f>
        <v>17021</v>
      </c>
      <c r="E11" s="13">
        <f>1211+2537+3941</f>
        <v>7689</v>
      </c>
      <c r="F11" s="13">
        <f>9131+1790+1786</f>
        <v>12707</v>
      </c>
      <c r="G11" s="11">
        <f>11591+2739+2738</f>
        <v>17068</v>
      </c>
      <c r="H11" s="14">
        <f t="shared" si="0"/>
        <v>2</v>
      </c>
      <c r="I11" s="14">
        <f t="shared" si="1"/>
        <v>5.428571428571429</v>
      </c>
      <c r="J11" s="14">
        <f t="shared" si="2"/>
        <v>6.714285714285714</v>
      </c>
      <c r="K11" s="14">
        <f t="shared" si="3"/>
        <v>1.2857142857142856</v>
      </c>
      <c r="L11" s="15">
        <f t="shared" si="4"/>
        <v>3.2857142857142856</v>
      </c>
    </row>
    <row r="12" spans="1:12" ht="14.25">
      <c r="A12" s="1" t="s">
        <v>18</v>
      </c>
      <c r="B12" s="13">
        <f>638+916+1125</f>
        <v>2679</v>
      </c>
      <c r="C12" s="13">
        <f>2668+565+600</f>
        <v>3833</v>
      </c>
      <c r="D12" s="11">
        <f>3614+814+851</f>
        <v>5279</v>
      </c>
      <c r="E12" s="13">
        <f>639+918+1131</f>
        <v>2688</v>
      </c>
      <c r="F12" s="13">
        <f>2677+570+604</f>
        <v>3851</v>
      </c>
      <c r="G12" s="11">
        <f>3626+821+857</f>
        <v>5304</v>
      </c>
      <c r="H12" s="14">
        <f t="shared" si="0"/>
        <v>1.2857142857142858</v>
      </c>
      <c r="I12" s="14">
        <f t="shared" si="1"/>
        <v>2.5714285714285716</v>
      </c>
      <c r="J12" s="14">
        <f t="shared" si="2"/>
        <v>3.5714285714285716</v>
      </c>
      <c r="K12" s="14">
        <f t="shared" si="3"/>
        <v>1</v>
      </c>
      <c r="L12" s="15">
        <f t="shared" si="4"/>
        <v>2.2857142857142856</v>
      </c>
    </row>
    <row r="13" spans="1:12" ht="14.25">
      <c r="A13" s="1" t="s">
        <v>19</v>
      </c>
      <c r="B13" s="13">
        <f>2366+2395+2877</f>
        <v>7638</v>
      </c>
      <c r="C13" s="11"/>
      <c r="D13" s="11"/>
      <c r="E13" s="13">
        <f>2375+2407+2888</f>
        <v>7670</v>
      </c>
      <c r="F13" s="13"/>
      <c r="G13" s="11"/>
      <c r="H13" s="14">
        <f t="shared" si="0"/>
        <v>4.571428571428571</v>
      </c>
      <c r="I13" s="14">
        <f t="shared" si="1"/>
        <v>0</v>
      </c>
      <c r="J13" s="14">
        <f t="shared" si="2"/>
        <v>0</v>
      </c>
      <c r="K13" s="14">
        <f t="shared" si="3"/>
        <v>0</v>
      </c>
      <c r="L13" s="15">
        <f t="shared" si="4"/>
        <v>4.571428571428571</v>
      </c>
    </row>
    <row r="14" spans="1:12" ht="14.25">
      <c r="A14" s="1" t="s">
        <v>20</v>
      </c>
      <c r="B14" s="13">
        <v>0</v>
      </c>
      <c r="C14" s="13"/>
      <c r="D14" s="11"/>
      <c r="E14" s="13">
        <f>862/365*7</f>
        <v>16.53150684931507</v>
      </c>
      <c r="F14" s="13"/>
      <c r="G14" s="11"/>
      <c r="H14" s="14">
        <f t="shared" si="0"/>
        <v>2.361643835616438</v>
      </c>
      <c r="I14" s="14">
        <f t="shared" si="1"/>
        <v>0</v>
      </c>
      <c r="J14" s="14">
        <f t="shared" si="2"/>
        <v>0</v>
      </c>
      <c r="K14" s="14">
        <f t="shared" si="3"/>
        <v>0</v>
      </c>
      <c r="L14" s="15">
        <f t="shared" si="4"/>
        <v>2.361643835616438</v>
      </c>
    </row>
    <row r="15" spans="1:12" ht="14.25">
      <c r="A15" s="16" t="s">
        <v>21</v>
      </c>
      <c r="B15" s="17"/>
      <c r="C15" s="17"/>
      <c r="D15" s="17"/>
      <c r="E15" s="17"/>
      <c r="F15" s="17"/>
      <c r="G15" s="17"/>
      <c r="H15" s="18">
        <f>SUM(H6:H14)</f>
        <v>19.647358121330726</v>
      </c>
      <c r="I15" s="18">
        <f>SUM(I6:I14)</f>
        <v>51.42857142857143</v>
      </c>
      <c r="J15" s="19">
        <f>SUM(J6:J14)</f>
        <v>56.142857142857146</v>
      </c>
      <c r="K15" s="19">
        <f>SUM(K6:K14)</f>
        <v>4.714285714285712</v>
      </c>
      <c r="L15" s="19">
        <f>SUM(L6:L14)</f>
        <v>24.36164383561643</v>
      </c>
    </row>
    <row r="16" spans="1:9" ht="14.25">
      <c r="A16" s="20"/>
      <c r="G16" t="s">
        <v>22</v>
      </c>
      <c r="H16" s="21">
        <f>I15-H15</f>
        <v>31.781213307240705</v>
      </c>
      <c r="I16" t="s">
        <v>23</v>
      </c>
    </row>
    <row r="17" spans="5:12" ht="14.25">
      <c r="E17" t="s">
        <v>24</v>
      </c>
      <c r="F17">
        <v>11.8</v>
      </c>
      <c r="G17" t="s">
        <v>25</v>
      </c>
      <c r="H17" s="22">
        <f>H16/F17</f>
        <v>2.693323161630568</v>
      </c>
      <c r="I17" t="s">
        <v>23</v>
      </c>
      <c r="K17" t="s">
        <v>26</v>
      </c>
      <c r="L17" s="14">
        <f>L15/F17</f>
        <v>2.064546087764104</v>
      </c>
    </row>
    <row r="18" spans="1:4" ht="14.25">
      <c r="A18" s="9" t="s">
        <v>27</v>
      </c>
      <c r="B18" s="9" t="s">
        <v>3</v>
      </c>
      <c r="C18" s="9" t="s">
        <v>28</v>
      </c>
      <c r="D18" s="9" t="s">
        <v>29</v>
      </c>
    </row>
    <row r="19" spans="2:4" ht="14.25">
      <c r="B19">
        <v>3000</v>
      </c>
      <c r="C19">
        <v>3.5</v>
      </c>
      <c r="D19" s="22">
        <f>B19/365/C19</f>
        <v>2.3483365949119377</v>
      </c>
    </row>
    <row r="20" spans="1:4" ht="14.25">
      <c r="A20" s="9" t="s">
        <v>30</v>
      </c>
      <c r="B20" s="9" t="s">
        <v>31</v>
      </c>
      <c r="C20" s="9" t="s">
        <v>28</v>
      </c>
      <c r="D20" s="9" t="s">
        <v>29</v>
      </c>
    </row>
    <row r="21" spans="2:11" ht="14.25">
      <c r="B21">
        <v>7000</v>
      </c>
      <c r="C21">
        <v>2</v>
      </c>
      <c r="D21" s="22">
        <f>B21/365/C21</f>
        <v>9.58904109589041</v>
      </c>
      <c r="H21" s="23" t="s">
        <v>32</v>
      </c>
      <c r="J21" t="s">
        <v>33</v>
      </c>
      <c r="K21">
        <v>0.52</v>
      </c>
    </row>
    <row r="22" spans="8:12" ht="14.25">
      <c r="H22" s="24">
        <f>L17*365*0.2</f>
        <v>150.7118644067796</v>
      </c>
      <c r="J22" s="25" t="s">
        <v>34</v>
      </c>
      <c r="K22" t="s">
        <v>35</v>
      </c>
      <c r="L22" s="26">
        <f>H17*K21*365</f>
        <v>511.1927360774818</v>
      </c>
    </row>
    <row r="23" spans="1:12" ht="14.25">
      <c r="A23" s="3" t="s">
        <v>36</v>
      </c>
      <c r="B23" s="4">
        <v>7</v>
      </c>
      <c r="C23" s="4" t="s">
        <v>37</v>
      </c>
      <c r="D23" s="4">
        <v>10.81</v>
      </c>
      <c r="E23" s="4" t="s">
        <v>38</v>
      </c>
      <c r="F23" s="4"/>
      <c r="G23" s="4"/>
      <c r="H23" s="4"/>
      <c r="I23" s="4"/>
      <c r="J23" s="4"/>
      <c r="K23" s="4"/>
      <c r="L23" s="4"/>
    </row>
    <row r="24" spans="1:5" ht="14.25">
      <c r="A24" s="5" t="s">
        <v>39</v>
      </c>
      <c r="B24" s="6">
        <v>41915</v>
      </c>
      <c r="C24" s="6">
        <v>41922</v>
      </c>
      <c r="D24" s="9" t="s">
        <v>40</v>
      </c>
      <c r="E24" s="9" t="s">
        <v>5</v>
      </c>
    </row>
    <row r="25" spans="1:5" ht="14.25">
      <c r="A25" s="1" t="s">
        <v>17</v>
      </c>
      <c r="B25">
        <v>791.753</v>
      </c>
      <c r="C25">
        <v>792.326</v>
      </c>
      <c r="D25">
        <f aca="true" t="shared" si="5" ref="D25:D27">(C25-B25)/$B$23</f>
        <v>0.08185714285713987</v>
      </c>
      <c r="E25">
        <f aca="true" t="shared" si="6" ref="E25:E27">D25*$D$23</f>
        <v>0.884875714285682</v>
      </c>
    </row>
    <row r="26" spans="1:5" ht="14.25">
      <c r="A26" s="1" t="s">
        <v>18</v>
      </c>
      <c r="B26">
        <v>1040.84</v>
      </c>
      <c r="C26">
        <v>1041.194</v>
      </c>
      <c r="D26">
        <f t="shared" si="5"/>
        <v>0.05057142857143455</v>
      </c>
      <c r="E26">
        <f t="shared" si="6"/>
        <v>0.5466771428572075</v>
      </c>
    </row>
    <row r="27" spans="1:5" ht="14.25">
      <c r="A27" s="1" t="s">
        <v>19</v>
      </c>
      <c r="B27">
        <v>2572.517</v>
      </c>
      <c r="C27">
        <v>2573.653</v>
      </c>
      <c r="D27">
        <f t="shared" si="5"/>
        <v>0.16228571428570962</v>
      </c>
      <c r="E27">
        <f t="shared" si="6"/>
        <v>1.7543085714285211</v>
      </c>
    </row>
    <row r="28" spans="1:5" ht="14.25">
      <c r="A28" s="16" t="s">
        <v>21</v>
      </c>
      <c r="B28" s="17"/>
      <c r="C28" s="17"/>
      <c r="D28" s="18">
        <f>SUM(D25:D27)</f>
        <v>0.29471428571428404</v>
      </c>
      <c r="E28" s="18">
        <f>SUM(E25:E27)</f>
        <v>3.1858614285714104</v>
      </c>
    </row>
    <row r="29" spans="1:11" ht="14.25">
      <c r="A29" t="s">
        <v>41</v>
      </c>
      <c r="B29">
        <v>4.8</v>
      </c>
      <c r="C29" t="s">
        <v>25</v>
      </c>
      <c r="D29" s="14">
        <f>D28/$B$29</f>
        <v>0.061398809523809175</v>
      </c>
      <c r="E29" s="22">
        <f>E28/$B$29</f>
        <v>0.6637211309523772</v>
      </c>
      <c r="H29" s="23" t="s">
        <v>32</v>
      </c>
      <c r="J29" t="s">
        <v>42</v>
      </c>
      <c r="K29">
        <v>0.1998</v>
      </c>
    </row>
    <row r="30" spans="7:12" ht="14.25">
      <c r="G30" s="27"/>
      <c r="H30" s="24">
        <f>E29*365*0.2</f>
        <v>48.451642559523535</v>
      </c>
      <c r="J30" s="28" t="s">
        <v>43</v>
      </c>
      <c r="K30" s="14" t="s">
        <v>44</v>
      </c>
      <c r="L30" s="26">
        <f>-E29*K29*365</f>
        <v>-48.40319091696401</v>
      </c>
    </row>
    <row r="31" spans="1:12" ht="14.25">
      <c r="A31" s="3" t="s">
        <v>45</v>
      </c>
      <c r="B31" s="4"/>
      <c r="C31" s="4">
        <v>4.3</v>
      </c>
      <c r="D31" s="4" t="s">
        <v>46</v>
      </c>
      <c r="E31" s="4"/>
      <c r="F31" s="4"/>
      <c r="G31" s="4"/>
      <c r="H31" s="4"/>
      <c r="I31" s="4"/>
      <c r="J31" s="4"/>
      <c r="K31" s="4"/>
      <c r="L31" s="4"/>
    </row>
    <row r="32" spans="1:3" ht="14.25">
      <c r="A32" s="5"/>
      <c r="B32" s="6" t="s">
        <v>47</v>
      </c>
      <c r="C32" s="9" t="s">
        <v>48</v>
      </c>
    </row>
    <row r="33" spans="1:3" ht="14.25">
      <c r="A33" s="1" t="s">
        <v>49</v>
      </c>
      <c r="B33">
        <v>6000</v>
      </c>
      <c r="C33">
        <f aca="true" t="shared" si="7" ref="C33:C36">B33*$C$31</f>
        <v>25800</v>
      </c>
    </row>
    <row r="34" spans="1:3" ht="14.25">
      <c r="A34" s="1" t="s">
        <v>18</v>
      </c>
      <c r="B34">
        <v>4000</v>
      </c>
      <c r="C34">
        <f t="shared" si="7"/>
        <v>17200</v>
      </c>
    </row>
    <row r="35" spans="1:7" ht="14.25">
      <c r="A35" s="1" t="s">
        <v>19</v>
      </c>
      <c r="B35">
        <v>12000</v>
      </c>
      <c r="C35">
        <f t="shared" si="7"/>
        <v>51600</v>
      </c>
      <c r="D35" t="s">
        <v>50</v>
      </c>
      <c r="E35">
        <v>32500</v>
      </c>
      <c r="F35" t="s">
        <v>51</v>
      </c>
      <c r="G35" t="s">
        <v>25</v>
      </c>
    </row>
    <row r="36" spans="1:7" ht="14.25">
      <c r="A36" s="1" t="s">
        <v>52</v>
      </c>
      <c r="B36">
        <v>3000</v>
      </c>
      <c r="C36">
        <f t="shared" si="7"/>
        <v>12900</v>
      </c>
      <c r="D36" t="s">
        <v>53</v>
      </c>
      <c r="E36">
        <v>15</v>
      </c>
      <c r="F36">
        <f>E36/E35</f>
        <v>0.00046153846153846153</v>
      </c>
      <c r="G36">
        <f>F36*B39</f>
        <v>1.7221584385763489</v>
      </c>
    </row>
    <row r="37" spans="1:7" ht="14.25">
      <c r="A37" s="16" t="s">
        <v>21</v>
      </c>
      <c r="B37" s="29">
        <f>SUM(B33:B36)</f>
        <v>25000</v>
      </c>
      <c r="C37" s="29">
        <f>SUM(C33:C36)</f>
        <v>107500</v>
      </c>
      <c r="D37" t="s">
        <v>54</v>
      </c>
      <c r="E37">
        <v>50</v>
      </c>
      <c r="F37">
        <f>E37/E35</f>
        <v>0.0015384615384615385</v>
      </c>
      <c r="G37">
        <f>F37*B39</f>
        <v>5.74052812858783</v>
      </c>
    </row>
    <row r="38" spans="1:2" ht="14.25">
      <c r="A38" t="s">
        <v>55</v>
      </c>
      <c r="B38">
        <v>6.7</v>
      </c>
    </row>
    <row r="39" spans="1:3" ht="14.25">
      <c r="A39" t="s">
        <v>25</v>
      </c>
      <c r="B39" s="30">
        <f>B37/$B$38</f>
        <v>3731.3432835820895</v>
      </c>
      <c r="C39" s="30">
        <f>C37/$B$38</f>
        <v>16044.776119402984</v>
      </c>
    </row>
    <row r="40" spans="1:12" ht="14.25">
      <c r="A40" t="s">
        <v>56</v>
      </c>
      <c r="B40" s="14">
        <f>B39/365</f>
        <v>10.222858311183806</v>
      </c>
      <c r="C40" s="14">
        <f>C39/365</f>
        <v>43.95829073809037</v>
      </c>
      <c r="J40" t="s">
        <v>57</v>
      </c>
      <c r="L40" t="s">
        <v>58</v>
      </c>
    </row>
    <row r="41" spans="1:12" ht="14.25">
      <c r="A41" s="9" t="s">
        <v>27</v>
      </c>
      <c r="B41" s="9" t="s">
        <v>59</v>
      </c>
      <c r="C41" s="9" t="s">
        <v>28</v>
      </c>
      <c r="D41" s="9" t="s">
        <v>29</v>
      </c>
      <c r="J41" t="s">
        <v>60</v>
      </c>
      <c r="K41">
        <v>2.3</v>
      </c>
      <c r="L41">
        <f aca="true" t="shared" si="8" ref="L41:L42">K41*F36</f>
        <v>0.0010615384615384614</v>
      </c>
    </row>
    <row r="42" spans="1:12" ht="14.25">
      <c r="A42" t="s">
        <v>61</v>
      </c>
      <c r="B42">
        <v>2800</v>
      </c>
      <c r="C42">
        <v>3.5</v>
      </c>
      <c r="D42" s="22">
        <f>B42*D23/C42/365</f>
        <v>23.693150684931506</v>
      </c>
      <c r="H42" s="23" t="s">
        <v>32</v>
      </c>
      <c r="J42" t="s">
        <v>62</v>
      </c>
      <c r="K42">
        <v>2.63</v>
      </c>
      <c r="L42">
        <f t="shared" si="8"/>
        <v>0.004046153846153846</v>
      </c>
    </row>
    <row r="43" spans="8:12" ht="14.25">
      <c r="H43" s="24">
        <f>B39*11/100</f>
        <v>410.4477611940299</v>
      </c>
      <c r="J43" s="28" t="s">
        <v>43</v>
      </c>
      <c r="K43" s="14" t="s">
        <v>44</v>
      </c>
      <c r="L43" s="26">
        <f>-(K41*G36+K42*G37)</f>
        <v>-19.058553386911594</v>
      </c>
    </row>
    <row r="44" spans="1:15" ht="14.25">
      <c r="A44" s="3" t="s">
        <v>63</v>
      </c>
      <c r="B44" s="4"/>
      <c r="C44" s="4">
        <v>80</v>
      </c>
      <c r="D44" s="4" t="s">
        <v>64</v>
      </c>
      <c r="E44" s="4"/>
      <c r="F44" s="4"/>
      <c r="G44" s="4"/>
      <c r="H44" s="4"/>
      <c r="I44" s="4"/>
      <c r="J44" s="4"/>
      <c r="K44" s="4"/>
      <c r="L44" s="4"/>
      <c r="O44" t="s">
        <v>65</v>
      </c>
    </row>
    <row r="45" spans="1:4" ht="14.25">
      <c r="A45" s="5" t="s">
        <v>66</v>
      </c>
      <c r="B45" s="6">
        <v>41915</v>
      </c>
      <c r="C45" s="6">
        <v>41922</v>
      </c>
      <c r="D45" s="9" t="s">
        <v>67</v>
      </c>
    </row>
    <row r="46" spans="1:4" ht="14.25">
      <c r="A46" s="1" t="s">
        <v>68</v>
      </c>
      <c r="B46" s="11">
        <v>0</v>
      </c>
      <c r="C46" s="11">
        <f>0.4*0.4*0.5</f>
        <v>0.08000000000000002</v>
      </c>
      <c r="D46" s="14">
        <f aca="true" t="shared" si="9" ref="D46:D49">(C46-B46)/7*$C$44</f>
        <v>0.9142857142857144</v>
      </c>
    </row>
    <row r="47" spans="1:5" ht="14.25">
      <c r="A47" s="1" t="s">
        <v>69</v>
      </c>
      <c r="B47" s="11">
        <f aca="true" t="shared" si="10" ref="B47:B48">0.4*0.4*1.5</f>
        <v>0.24000000000000005</v>
      </c>
      <c r="C47" s="11">
        <f>0.4*0.4*1.6</f>
        <v>0.25600000000000006</v>
      </c>
      <c r="D47" s="14">
        <f t="shared" si="9"/>
        <v>0.182857142857143</v>
      </c>
      <c r="E47" t="s">
        <v>70</v>
      </c>
    </row>
    <row r="48" spans="1:5" ht="14.25">
      <c r="A48" s="1" t="s">
        <v>71</v>
      </c>
      <c r="B48" s="11">
        <f t="shared" si="10"/>
        <v>0.24000000000000005</v>
      </c>
      <c r="C48" s="11">
        <f>0.4*0.4*1.7</f>
        <v>0.2720000000000001</v>
      </c>
      <c r="D48" s="14">
        <f t="shared" si="9"/>
        <v>0.365714285714286</v>
      </c>
      <c r="E48" s="31">
        <f>SUM(D47:D49)/SUM(D46:D49)</f>
        <v>0.3750000000000001</v>
      </c>
    </row>
    <row r="49" spans="1:4" ht="14.25">
      <c r="A49" s="1" t="s">
        <v>72</v>
      </c>
      <c r="B49" s="11">
        <v>0</v>
      </c>
      <c r="C49" s="11">
        <v>0</v>
      </c>
      <c r="D49" s="14">
        <f t="shared" si="9"/>
        <v>0</v>
      </c>
    </row>
    <row r="50" spans="1:4" ht="14.25">
      <c r="A50" s="16" t="s">
        <v>73</v>
      </c>
      <c r="B50" s="29"/>
      <c r="C50" s="18"/>
      <c r="D50" s="18">
        <f>SUM(D46:D49)</f>
        <v>1.4628571428571433</v>
      </c>
    </row>
    <row r="51" spans="1:6" ht="14.25">
      <c r="A51" t="s">
        <v>24</v>
      </c>
      <c r="B51">
        <v>11.8</v>
      </c>
      <c r="D51" s="14"/>
      <c r="F51" s="25"/>
    </row>
    <row r="52" spans="1:3" ht="14.25">
      <c r="A52" t="s">
        <v>74</v>
      </c>
      <c r="B52" s="14">
        <f>D46/$B$51</f>
        <v>0.0774818401937046</v>
      </c>
      <c r="C52" s="30"/>
    </row>
    <row r="53" spans="1:2" ht="14.25">
      <c r="A53" t="s">
        <v>75</v>
      </c>
      <c r="B53" s="22">
        <f>D46*365/B51</f>
        <v>28.28087167070218</v>
      </c>
    </row>
    <row r="54" spans="1:4" ht="14.25">
      <c r="A54" s="9" t="s">
        <v>27</v>
      </c>
      <c r="B54" s="9" t="s">
        <v>76</v>
      </c>
      <c r="C54" s="9" t="s">
        <v>77</v>
      </c>
      <c r="D54" s="9"/>
    </row>
    <row r="55" spans="1:11" ht="14.25">
      <c r="A55" t="s">
        <v>68</v>
      </c>
      <c r="B55" s="22">
        <v>529</v>
      </c>
      <c r="C55">
        <v>38</v>
      </c>
      <c r="D55" s="21"/>
      <c r="G55" s="23" t="s">
        <v>78</v>
      </c>
      <c r="H55" s="23" t="s">
        <v>32</v>
      </c>
      <c r="J55" t="s">
        <v>79</v>
      </c>
      <c r="K55">
        <f>500/1000</f>
        <v>0.5</v>
      </c>
    </row>
    <row r="56" spans="7:12" ht="14.25">
      <c r="G56" s="24">
        <f>500/150</f>
        <v>3.3333333333333335</v>
      </c>
      <c r="H56" s="24">
        <f>B53*G56</f>
        <v>94.26957223567393</v>
      </c>
      <c r="J56" s="28" t="s">
        <v>43</v>
      </c>
      <c r="K56" s="14" t="s">
        <v>44</v>
      </c>
      <c r="L56" s="26">
        <f>-B53*K55</f>
        <v>-14.14043583535109</v>
      </c>
    </row>
    <row r="57" spans="1:12" ht="14.25">
      <c r="A57" s="3" t="s">
        <v>80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8" ht="14.25">
      <c r="A58" s="5" t="s">
        <v>66</v>
      </c>
      <c r="B58" s="6">
        <v>41915</v>
      </c>
      <c r="C58" s="6">
        <v>41922</v>
      </c>
      <c r="D58" s="9" t="s">
        <v>40</v>
      </c>
      <c r="O58" s="5" t="s">
        <v>66</v>
      </c>
      <c r="P58" s="6">
        <v>41639</v>
      </c>
      <c r="Q58" s="6">
        <v>42266</v>
      </c>
      <c r="R58" s="9" t="s">
        <v>40</v>
      </c>
    </row>
    <row r="59" spans="1:18" ht="14.25">
      <c r="A59" s="1" t="s">
        <v>12</v>
      </c>
      <c r="B59" s="11">
        <v>1356</v>
      </c>
      <c r="C59" s="11">
        <v>1358.58</v>
      </c>
      <c r="D59" s="14">
        <f aca="true" t="shared" si="11" ref="D59:D63">(C59-B59)/($C$58-$B$58)</f>
        <v>0.36857142857141817</v>
      </c>
      <c r="O59" s="1" t="s">
        <v>12</v>
      </c>
      <c r="P59" s="11">
        <v>1098</v>
      </c>
      <c r="Q59" s="11">
        <v>1546</v>
      </c>
      <c r="R59" s="14">
        <f>(Q59-P59)/($Q$58-$P$58)</f>
        <v>0.7145135566188198</v>
      </c>
    </row>
    <row r="60" spans="1:18" ht="14.25">
      <c r="A60" s="1" t="s">
        <v>14</v>
      </c>
      <c r="B60" s="11">
        <v>3762</v>
      </c>
      <c r="C60" s="11">
        <v>3762.4</v>
      </c>
      <c r="D60" s="14">
        <f t="shared" si="11"/>
        <v>0.05714285714287014</v>
      </c>
      <c r="O60" s="1" t="s">
        <v>14</v>
      </c>
      <c r="P60" s="11"/>
      <c r="Q60" s="11"/>
      <c r="R60" s="14">
        <f aca="true" t="shared" si="12" ref="R60:R63">(Q60-P60)/7</f>
        <v>0</v>
      </c>
    </row>
    <row r="61" spans="1:18" ht="14.25">
      <c r="A61" s="1" t="s">
        <v>17</v>
      </c>
      <c r="B61" s="11">
        <v>2580.9435</v>
      </c>
      <c r="C61" s="11">
        <v>2585.342</v>
      </c>
      <c r="D61" s="14">
        <f t="shared" si="11"/>
        <v>0.6283571428571771</v>
      </c>
      <c r="O61" s="1" t="s">
        <v>17</v>
      </c>
      <c r="P61" s="11"/>
      <c r="Q61" s="11"/>
      <c r="R61" s="14">
        <f t="shared" si="12"/>
        <v>0</v>
      </c>
    </row>
    <row r="62" spans="1:18" ht="14.25">
      <c r="A62" s="1" t="s">
        <v>19</v>
      </c>
      <c r="B62" s="11">
        <v>1591.487</v>
      </c>
      <c r="C62" s="11">
        <v>1592.431</v>
      </c>
      <c r="D62" s="14">
        <f t="shared" si="11"/>
        <v>0.13485714285713715</v>
      </c>
      <c r="O62" s="1" t="s">
        <v>19</v>
      </c>
      <c r="P62" s="11"/>
      <c r="Q62" s="11"/>
      <c r="R62" s="14">
        <f t="shared" si="12"/>
        <v>0</v>
      </c>
    </row>
    <row r="63" spans="1:18" ht="14.25">
      <c r="A63" s="1" t="s">
        <v>20</v>
      </c>
      <c r="B63" s="11">
        <v>878.937</v>
      </c>
      <c r="C63" s="11">
        <v>880.6205</v>
      </c>
      <c r="D63" s="14">
        <f t="shared" si="11"/>
        <v>0.24049999999999727</v>
      </c>
      <c r="O63" s="1" t="s">
        <v>20</v>
      </c>
      <c r="P63" s="11"/>
      <c r="Q63" s="11"/>
      <c r="R63" s="14">
        <f t="shared" si="12"/>
        <v>0</v>
      </c>
    </row>
    <row r="64" spans="1:4" ht="14.25">
      <c r="A64" s="16" t="s">
        <v>21</v>
      </c>
      <c r="B64" s="29"/>
      <c r="C64" s="18"/>
      <c r="D64" s="18">
        <f>SUM(D59:D63)</f>
        <v>1.4294285714285997</v>
      </c>
    </row>
    <row r="65" spans="1:6" ht="14.25">
      <c r="A65" t="s">
        <v>81</v>
      </c>
      <c r="B65">
        <v>9.9</v>
      </c>
      <c r="D65" s="14"/>
      <c r="F65" s="25"/>
    </row>
    <row r="66" spans="1:4" ht="14.25">
      <c r="A66" t="s">
        <v>25</v>
      </c>
      <c r="B66" s="14">
        <f>D64/$B$65</f>
        <v>0.14438672438672723</v>
      </c>
      <c r="C66" s="30" t="s">
        <v>82</v>
      </c>
      <c r="D66" s="22">
        <f>B66*1000</f>
        <v>144.38672438672722</v>
      </c>
    </row>
    <row r="67" spans="1:4" ht="14.25">
      <c r="A67" s="9" t="s">
        <v>27</v>
      </c>
      <c r="B67" s="9"/>
      <c r="C67" s="9"/>
      <c r="D67" s="9" t="s">
        <v>83</v>
      </c>
    </row>
    <row r="68" spans="1:11" ht="14.25">
      <c r="A68" t="s">
        <v>84</v>
      </c>
      <c r="D68" s="22">
        <v>175</v>
      </c>
      <c r="F68" s="23" t="s">
        <v>85</v>
      </c>
      <c r="G68" s="23" t="s">
        <v>86</v>
      </c>
      <c r="H68" s="23" t="s">
        <v>32</v>
      </c>
      <c r="J68" t="s">
        <v>87</v>
      </c>
      <c r="K68">
        <f>0.4/100</f>
        <v>0.004</v>
      </c>
    </row>
    <row r="69" spans="6:12" ht="14.25">
      <c r="F69" s="24">
        <f>500/200</f>
        <v>2.5</v>
      </c>
      <c r="G69" s="24">
        <v>1.87</v>
      </c>
      <c r="H69" s="24">
        <f>B66*G69*365</f>
        <v>98.55115873016067</v>
      </c>
      <c r="J69" s="28" t="s">
        <v>43</v>
      </c>
      <c r="K69" s="14" t="s">
        <v>44</v>
      </c>
      <c r="L69" s="26">
        <f>-D66*K68*365</f>
        <v>-210.80461760462174</v>
      </c>
    </row>
    <row r="70" spans="1:12" ht="14.25">
      <c r="A70" s="3" t="s">
        <v>88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4" ht="14.25">
      <c r="A71" s="9" t="s">
        <v>89</v>
      </c>
      <c r="B71" s="6" t="s">
        <v>90</v>
      </c>
      <c r="C71" s="6" t="s">
        <v>91</v>
      </c>
      <c r="D71" s="9" t="s">
        <v>21</v>
      </c>
    </row>
    <row r="72" spans="1:4" ht="14.25">
      <c r="A72" s="1" t="s">
        <v>92</v>
      </c>
      <c r="B72">
        <v>20</v>
      </c>
      <c r="C72">
        <v>2</v>
      </c>
      <c r="D72">
        <f aca="true" t="shared" si="13" ref="D72:D74">B72*C72</f>
        <v>40</v>
      </c>
    </row>
    <row r="73" spans="1:4" ht="14.25">
      <c r="A73" s="1" t="s">
        <v>93</v>
      </c>
      <c r="B73">
        <v>24</v>
      </c>
      <c r="C73">
        <v>2</v>
      </c>
      <c r="D73">
        <f t="shared" si="13"/>
        <v>48</v>
      </c>
    </row>
    <row r="74" spans="1:4" ht="14.25">
      <c r="A74" s="1" t="s">
        <v>94</v>
      </c>
      <c r="B74">
        <v>20</v>
      </c>
      <c r="C74">
        <v>2</v>
      </c>
      <c r="D74">
        <f t="shared" si="13"/>
        <v>40</v>
      </c>
    </row>
    <row r="75" spans="1:4" ht="14.25">
      <c r="A75" s="16" t="s">
        <v>21</v>
      </c>
      <c r="B75" s="29"/>
      <c r="C75" s="18"/>
      <c r="D75" s="29">
        <f>SUM(D72:D74)</f>
        <v>128</v>
      </c>
    </row>
    <row r="76" spans="1:8" ht="14.25">
      <c r="A76" t="s">
        <v>95</v>
      </c>
      <c r="B76">
        <v>2.5</v>
      </c>
      <c r="D76" s="14"/>
      <c r="F76" s="25"/>
      <c r="H76" s="23"/>
    </row>
    <row r="77" spans="1:8" ht="14.25">
      <c r="A77" t="s">
        <v>25</v>
      </c>
      <c r="B77" s="30">
        <f>D75/B76</f>
        <v>51.2</v>
      </c>
      <c r="C77" s="30" t="s">
        <v>96</v>
      </c>
      <c r="D77" s="14">
        <f>B77/7</f>
        <v>7.314285714285715</v>
      </c>
      <c r="H77" s="24"/>
    </row>
    <row r="78" spans="3:4" ht="14.25">
      <c r="C78" s="30" t="s">
        <v>97</v>
      </c>
      <c r="D78" s="22">
        <f>D77*365</f>
        <v>2669.714285714286</v>
      </c>
    </row>
    <row r="79" spans="1:4" ht="14.25">
      <c r="A79" s="9" t="s">
        <v>98</v>
      </c>
      <c r="B79" s="9"/>
      <c r="C79" s="9"/>
      <c r="D79" s="9"/>
    </row>
    <row r="80" spans="1:11" ht="14.25">
      <c r="A80" s="32" t="s">
        <v>99</v>
      </c>
      <c r="D80" s="22">
        <v>10000</v>
      </c>
      <c r="F80" s="23" t="s">
        <v>100</v>
      </c>
      <c r="G80" s="23" t="s">
        <v>101</v>
      </c>
      <c r="H80" s="23" t="s">
        <v>32</v>
      </c>
      <c r="J80" t="s">
        <v>102</v>
      </c>
      <c r="K80">
        <f>126/1000</f>
        <v>0.126</v>
      </c>
    </row>
    <row r="81" spans="6:12" ht="14.25">
      <c r="F81" s="24">
        <f>60/400</f>
        <v>0.15</v>
      </c>
      <c r="G81" s="24">
        <f>24/400</f>
        <v>0.06</v>
      </c>
      <c r="H81" s="24">
        <f>D78*G81</f>
        <v>160.18285714285713</v>
      </c>
      <c r="J81" s="28" t="s">
        <v>43</v>
      </c>
      <c r="K81" s="14" t="s">
        <v>44</v>
      </c>
      <c r="L81" s="26">
        <f>-D78*K80</f>
        <v>-336.384</v>
      </c>
    </row>
    <row r="82" spans="1:12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9:12" ht="14.25">
      <c r="I83" s="28" t="s">
        <v>43</v>
      </c>
      <c r="J83" s="33" t="s">
        <v>103</v>
      </c>
      <c r="K83" s="34" t="s">
        <v>44</v>
      </c>
      <c r="L83" s="35">
        <f>SUM(L22:L82)</f>
        <v>-117.59295397405896</v>
      </c>
    </row>
    <row r="84" spans="9:12" ht="14.25">
      <c r="I84" s="28"/>
      <c r="J84" s="36"/>
      <c r="K84" s="37"/>
      <c r="L84" s="37"/>
    </row>
    <row r="85" spans="9:12" ht="14.25">
      <c r="I85" s="28"/>
      <c r="J85" s="36"/>
      <c r="K85" s="37"/>
      <c r="L85" s="37"/>
    </row>
    <row r="86" spans="9:12" ht="14.25">
      <c r="I86" s="28"/>
      <c r="J86" s="36"/>
      <c r="K86" s="37"/>
      <c r="L86" s="37"/>
    </row>
    <row r="87" spans="9:12" ht="14.25">
      <c r="I87" s="28"/>
      <c r="J87" s="36"/>
      <c r="K87" s="37"/>
      <c r="L87" s="37"/>
    </row>
    <row r="88" spans="9:12" ht="14.25">
      <c r="I88" s="28"/>
      <c r="J88" s="36"/>
      <c r="K88" s="37"/>
      <c r="L88" s="37"/>
    </row>
    <row r="89" spans="9:12" ht="14.25">
      <c r="I89" s="28"/>
      <c r="J89" s="36"/>
      <c r="K89" s="37"/>
      <c r="L89" s="37"/>
    </row>
    <row r="90" spans="1:12" ht="14.25">
      <c r="A90" s="3" t="s">
        <v>104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21" ht="27.75" customHeight="1">
      <c r="A91" s="9"/>
      <c r="B91" s="6" t="s">
        <v>105</v>
      </c>
      <c r="C91" s="6" t="s">
        <v>106</v>
      </c>
      <c r="D91" s="9"/>
      <c r="N91" s="38" t="s">
        <v>107</v>
      </c>
      <c r="O91" s="38" t="s">
        <v>108</v>
      </c>
      <c r="P91" s="39" t="s">
        <v>109</v>
      </c>
      <c r="Q91" s="39" t="s">
        <v>110</v>
      </c>
      <c r="R91" s="40" t="s">
        <v>111</v>
      </c>
      <c r="S91" s="41" t="s">
        <v>112</v>
      </c>
      <c r="T91" s="42" t="s">
        <v>113</v>
      </c>
      <c r="U91" t="s">
        <v>114</v>
      </c>
    </row>
    <row r="92" spans="1:21" ht="27.75" customHeight="1">
      <c r="A92" s="1" t="s">
        <v>115</v>
      </c>
      <c r="B92">
        <v>30</v>
      </c>
      <c r="N92" s="43" t="s">
        <v>116</v>
      </c>
      <c r="O92" s="44" t="s">
        <v>117</v>
      </c>
      <c r="P92" s="45">
        <v>1020</v>
      </c>
      <c r="Q92" s="45">
        <v>862</v>
      </c>
      <c r="R92" s="45">
        <v>2472</v>
      </c>
      <c r="S92" s="43">
        <v>7.5</v>
      </c>
      <c r="T92" s="46" t="s">
        <v>118</v>
      </c>
      <c r="U92" s="26">
        <f aca="true" t="shared" si="14" ref="U92:U99">S92*365</f>
        <v>2737.5</v>
      </c>
    </row>
    <row r="93" spans="1:21" ht="27.75" customHeight="1">
      <c r="A93" s="1" t="s">
        <v>119</v>
      </c>
      <c r="B93">
        <v>30</v>
      </c>
      <c r="N93" s="43" t="s">
        <v>120</v>
      </c>
      <c r="O93" s="44" t="s">
        <v>121</v>
      </c>
      <c r="P93" s="45">
        <v>862</v>
      </c>
      <c r="Q93" s="45">
        <v>862</v>
      </c>
      <c r="R93" s="45">
        <v>2472</v>
      </c>
      <c r="S93" s="43">
        <v>6.6</v>
      </c>
      <c r="T93" s="47">
        <v>-0.12</v>
      </c>
      <c r="U93" s="26">
        <f t="shared" si="14"/>
        <v>2409</v>
      </c>
    </row>
    <row r="94" spans="1:21" ht="27.75" customHeight="1">
      <c r="A94" s="1" t="s">
        <v>122</v>
      </c>
      <c r="B94">
        <v>40</v>
      </c>
      <c r="J94" t="s">
        <v>123</v>
      </c>
      <c r="N94" s="43" t="s">
        <v>124</v>
      </c>
      <c r="O94" s="44" t="s">
        <v>125</v>
      </c>
      <c r="P94" s="45">
        <v>1020</v>
      </c>
      <c r="Q94" s="45">
        <v>862</v>
      </c>
      <c r="R94" s="45">
        <v>2443</v>
      </c>
      <c r="S94" s="43">
        <v>6.5</v>
      </c>
      <c r="T94" s="47">
        <v>-0.13</v>
      </c>
      <c r="U94" s="26">
        <f t="shared" si="14"/>
        <v>2372.5</v>
      </c>
    </row>
    <row r="95" spans="1:21" ht="27.75" customHeight="1">
      <c r="A95" s="1" t="s">
        <v>126</v>
      </c>
      <c r="C95">
        <v>1</v>
      </c>
      <c r="J95" t="s">
        <v>127</v>
      </c>
      <c r="K95">
        <v>2.9</v>
      </c>
      <c r="N95" s="43" t="s">
        <v>128</v>
      </c>
      <c r="O95" s="44" t="s">
        <v>129</v>
      </c>
      <c r="P95" s="45">
        <v>862</v>
      </c>
      <c r="Q95" s="45">
        <v>862</v>
      </c>
      <c r="R95" s="45">
        <v>2443</v>
      </c>
      <c r="S95" s="43">
        <v>5.6</v>
      </c>
      <c r="T95" s="47">
        <v>-0.24</v>
      </c>
      <c r="U95" s="26">
        <f t="shared" si="14"/>
        <v>2043.9999999999998</v>
      </c>
    </row>
    <row r="96" spans="1:21" ht="27.75" customHeight="1">
      <c r="A96" s="9" t="s">
        <v>130</v>
      </c>
      <c r="B96" s="9"/>
      <c r="C96" s="9"/>
      <c r="D96" s="9"/>
      <c r="J96" t="s">
        <v>131</v>
      </c>
      <c r="K96">
        <v>3.8</v>
      </c>
      <c r="N96" s="43" t="s">
        <v>132</v>
      </c>
      <c r="O96" s="44" t="s">
        <v>133</v>
      </c>
      <c r="P96" s="45">
        <v>1149</v>
      </c>
      <c r="Q96" s="45">
        <v>913</v>
      </c>
      <c r="R96" s="45">
        <v>2479</v>
      </c>
      <c r="S96" s="43">
        <v>6.1</v>
      </c>
      <c r="T96" s="47">
        <v>-0.18</v>
      </c>
      <c r="U96" s="26">
        <f t="shared" si="14"/>
        <v>2226.5</v>
      </c>
    </row>
    <row r="97" spans="1:21" ht="27.75" customHeight="1">
      <c r="A97" t="s">
        <v>134</v>
      </c>
      <c r="B97" s="14" t="s">
        <v>44</v>
      </c>
      <c r="C97">
        <v>2737</v>
      </c>
      <c r="D97" s="48"/>
      <c r="F97" s="23"/>
      <c r="G97" s="23"/>
      <c r="H97" s="23"/>
      <c r="J97" t="s">
        <v>135</v>
      </c>
      <c r="K97">
        <v>7.2</v>
      </c>
      <c r="N97" s="43" t="s">
        <v>136</v>
      </c>
      <c r="O97" s="44" t="s">
        <v>137</v>
      </c>
      <c r="P97" s="45">
        <v>913</v>
      </c>
      <c r="Q97" s="45">
        <v>913</v>
      </c>
      <c r="R97" s="45">
        <v>2479</v>
      </c>
      <c r="S97" s="43">
        <v>5.1</v>
      </c>
      <c r="T97" s="47">
        <v>-0.32</v>
      </c>
      <c r="U97" s="26">
        <f t="shared" si="14"/>
        <v>1861.4999999999998</v>
      </c>
    </row>
    <row r="98" spans="6:21" ht="27.75" customHeight="1">
      <c r="F98" s="24"/>
      <c r="G98" s="24"/>
      <c r="H98" s="24"/>
      <c r="J98" s="28" t="s">
        <v>43</v>
      </c>
      <c r="K98" s="14" t="s">
        <v>44</v>
      </c>
      <c r="L98" s="26">
        <f>-(K96+K97)/2*365</f>
        <v>-2007.5</v>
      </c>
      <c r="M98" t="s">
        <v>138</v>
      </c>
      <c r="N98" s="43" t="s">
        <v>139</v>
      </c>
      <c r="O98" s="44" t="s">
        <v>140</v>
      </c>
      <c r="P98" s="45">
        <v>1168</v>
      </c>
      <c r="Q98" s="45">
        <v>920</v>
      </c>
      <c r="R98" s="43">
        <v>2458</v>
      </c>
      <c r="S98" s="43">
        <v>5.8</v>
      </c>
      <c r="T98" s="47">
        <v>-0.23</v>
      </c>
      <c r="U98" s="26">
        <f t="shared" si="14"/>
        <v>2117</v>
      </c>
    </row>
    <row r="99" spans="1:21" ht="27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N99" s="43" t="s">
        <v>141</v>
      </c>
      <c r="O99" s="44" t="s">
        <v>142</v>
      </c>
      <c r="P99" s="45">
        <v>920</v>
      </c>
      <c r="Q99" s="45">
        <v>920</v>
      </c>
      <c r="R99" s="45">
        <v>2458</v>
      </c>
      <c r="S99" s="43">
        <v>4.9</v>
      </c>
      <c r="T99" s="47">
        <v>-0.35</v>
      </c>
      <c r="U99" s="26">
        <f t="shared" si="14"/>
        <v>1788.5000000000002</v>
      </c>
    </row>
    <row r="101" ht="14.25"/>
    <row r="102" ht="15.75" customHeight="1"/>
    <row r="103" ht="14.25"/>
    <row r="104" ht="14.25"/>
    <row r="105" ht="14.25"/>
    <row r="106" ht="14.25"/>
    <row r="107" ht="14.25"/>
    <row r="108" ht="14.25"/>
    <row r="109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F7" sqref="F7"/>
    </sheetView>
  </sheetViews>
  <sheetFormatPr defaultColWidth="11.421875" defaultRowHeight="12.75"/>
  <cols>
    <col min="1" max="1" width="13.00390625" style="0" customWidth="1"/>
    <col min="2" max="2" width="9.140625" style="0" customWidth="1"/>
    <col min="3" max="3" width="9.28125" style="0" customWidth="1"/>
    <col min="5" max="5" width="9.421875" style="0" customWidth="1"/>
    <col min="6" max="6" width="12.00390625" style="0" customWidth="1"/>
    <col min="7" max="7" width="11.00390625" style="49" customWidth="1"/>
    <col min="8" max="10" width="11.57421875" style="0" customWidth="1"/>
    <col min="11" max="16384" width="11.57421875" style="0" customWidth="1"/>
  </cols>
  <sheetData>
    <row r="1" spans="1:9" ht="14.25">
      <c r="A1" s="1" t="s">
        <v>143</v>
      </c>
      <c r="B1" s="50"/>
      <c r="C1" s="50"/>
      <c r="D1" s="50"/>
      <c r="E1" s="50"/>
      <c r="F1" s="51"/>
      <c r="G1" s="52"/>
      <c r="I1" s="53"/>
    </row>
    <row r="2" spans="1:12" ht="14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 t="s">
        <v>144</v>
      </c>
      <c r="L2" s="54">
        <v>0.29</v>
      </c>
    </row>
    <row r="3" spans="1:12" ht="14.25">
      <c r="A3" s="5" t="s">
        <v>3</v>
      </c>
      <c r="B3" s="6">
        <v>43310</v>
      </c>
      <c r="C3" s="6"/>
      <c r="D3" s="7"/>
      <c r="E3" s="6">
        <v>43318</v>
      </c>
      <c r="F3" s="8" t="s">
        <v>145</v>
      </c>
      <c r="G3" s="7">
        <f>E3-B3</f>
        <v>8</v>
      </c>
      <c r="H3" s="9" t="s">
        <v>5</v>
      </c>
      <c r="I3" s="9"/>
      <c r="J3" s="9"/>
      <c r="K3" s="9" t="s">
        <v>146</v>
      </c>
      <c r="L3" s="9">
        <v>8</v>
      </c>
    </row>
    <row r="4" spans="1:13" ht="14.25">
      <c r="A4" s="1"/>
      <c r="B4" s="10" t="s">
        <v>6</v>
      </c>
      <c r="C4" s="10" t="s">
        <v>7</v>
      </c>
      <c r="D4" s="11" t="s">
        <v>8</v>
      </c>
      <c r="E4" s="10" t="s">
        <v>6</v>
      </c>
      <c r="F4" s="10" t="s">
        <v>7</v>
      </c>
      <c r="G4" s="11" t="s">
        <v>8</v>
      </c>
      <c r="H4" s="12" t="s">
        <v>6</v>
      </c>
      <c r="I4" s="12" t="s">
        <v>9</v>
      </c>
      <c r="J4" s="12" t="s">
        <v>8</v>
      </c>
      <c r="K4" s="12" t="s">
        <v>147</v>
      </c>
      <c r="L4" s="12" t="s">
        <v>11</v>
      </c>
      <c r="M4" t="s">
        <v>148</v>
      </c>
    </row>
    <row r="5" spans="1:13" ht="14.25">
      <c r="A5" s="1" t="s">
        <v>12</v>
      </c>
      <c r="B5" s="13">
        <f>2029+3350+5295</f>
        <v>10674</v>
      </c>
      <c r="C5" s="13">
        <f>5212+965+1096</f>
        <v>7273</v>
      </c>
      <c r="D5" s="11">
        <f>G5-G3*13.889</f>
        <v>15866.888</v>
      </c>
      <c r="E5" s="13">
        <f>2045+3364+5318</f>
        <v>10727</v>
      </c>
      <c r="F5" s="13">
        <f>5221+967+1104</f>
        <v>7292</v>
      </c>
      <c r="G5" s="11">
        <f>1607+524+543+5928+1258+6118</f>
        <v>15978</v>
      </c>
      <c r="H5" s="14">
        <f aca="true" t="shared" si="0" ref="H5:H12">(E5-B5)/$G$3</f>
        <v>6.625</v>
      </c>
      <c r="I5" s="14">
        <f aca="true" t="shared" si="1" ref="I5:I12">(F5-C5)/$G$3</f>
        <v>2.375</v>
      </c>
      <c r="J5" s="14">
        <f aca="true" t="shared" si="2" ref="J5:J12">(G5-D5)/$G$3</f>
        <v>13.888999999999896</v>
      </c>
      <c r="K5" s="14">
        <f aca="true" t="shared" si="3" ref="K5:K12">H5+(J5-I5)</f>
        <v>18.138999999999896</v>
      </c>
      <c r="L5" s="14">
        <f aca="true" t="shared" si="4" ref="L5:L12">K5*$L$3</f>
        <v>145.11199999999917</v>
      </c>
      <c r="M5" s="55">
        <f aca="true" t="shared" si="5" ref="M5:M12">L5*$L$2</f>
        <v>42.082479999999755</v>
      </c>
    </row>
    <row r="6" spans="1:13" ht="14.25">
      <c r="A6" s="1" t="s">
        <v>13</v>
      </c>
      <c r="B6" s="13">
        <f>3419+3118+4975</f>
        <v>11512</v>
      </c>
      <c r="C6" s="13"/>
      <c r="D6" s="11"/>
      <c r="E6" s="13">
        <f>3435+3132+4994</f>
        <v>11561</v>
      </c>
      <c r="F6" s="13"/>
      <c r="G6" s="11"/>
      <c r="H6" s="14">
        <f t="shared" si="0"/>
        <v>6.125</v>
      </c>
      <c r="I6" s="14">
        <f t="shared" si="1"/>
        <v>0</v>
      </c>
      <c r="J6" s="14">
        <f t="shared" si="2"/>
        <v>0</v>
      </c>
      <c r="K6" s="14">
        <f t="shared" si="3"/>
        <v>6.125</v>
      </c>
      <c r="L6" s="14">
        <f t="shared" si="4"/>
        <v>49</v>
      </c>
      <c r="M6" s="55">
        <f t="shared" si="5"/>
        <v>14.209999999999999</v>
      </c>
    </row>
    <row r="7" spans="1:13" ht="14.25">
      <c r="A7" s="1" t="s">
        <v>14</v>
      </c>
      <c r="B7" s="13">
        <f>543+1281+2201</f>
        <v>4025</v>
      </c>
      <c r="C7" s="13">
        <f>5965+1191+1272</f>
        <v>8428</v>
      </c>
      <c r="D7" s="11">
        <f>7489+1614+1768</f>
        <v>10871</v>
      </c>
      <c r="E7" s="13">
        <f>547+1288+2213</f>
        <v>4048</v>
      </c>
      <c r="F7" s="13">
        <f>5975+1193+1275</f>
        <v>8443</v>
      </c>
      <c r="G7" s="11">
        <f>D7+G3*5.222</f>
        <v>10912.776</v>
      </c>
      <c r="H7" s="14">
        <f t="shared" si="0"/>
        <v>2.875</v>
      </c>
      <c r="I7" s="14">
        <f t="shared" si="1"/>
        <v>1.875</v>
      </c>
      <c r="J7" s="14">
        <f t="shared" si="2"/>
        <v>5.22199999999998</v>
      </c>
      <c r="K7" s="14">
        <f t="shared" si="3"/>
        <v>6.22199999999998</v>
      </c>
      <c r="L7" s="14">
        <f t="shared" si="4"/>
        <v>49.77599999999984</v>
      </c>
      <c r="M7" s="55">
        <f t="shared" si="5"/>
        <v>14.435039999999953</v>
      </c>
    </row>
    <row r="8" spans="1:13" ht="14.25">
      <c r="A8" s="1" t="s">
        <v>15</v>
      </c>
      <c r="B8" s="13">
        <f>136+296+433</f>
        <v>865</v>
      </c>
      <c r="C8" s="13">
        <f>7811+1607+1830</f>
        <v>11248</v>
      </c>
      <c r="D8" s="13">
        <f>8018+1704+1943</f>
        <v>11665</v>
      </c>
      <c r="E8" s="13">
        <f>137+299+438</f>
        <v>874</v>
      </c>
      <c r="F8" s="13">
        <f>7840+1615+1837</f>
        <v>11292</v>
      </c>
      <c r="G8" s="13">
        <f>8053+1713+1952</f>
        <v>11718</v>
      </c>
      <c r="H8" s="14">
        <f t="shared" si="0"/>
        <v>1.125</v>
      </c>
      <c r="I8" s="14">
        <f t="shared" si="1"/>
        <v>5.5</v>
      </c>
      <c r="J8" s="14">
        <f t="shared" si="2"/>
        <v>6.625</v>
      </c>
      <c r="K8" s="14">
        <f t="shared" si="3"/>
        <v>2.25</v>
      </c>
      <c r="L8" s="14">
        <f t="shared" si="4"/>
        <v>18</v>
      </c>
      <c r="M8" s="55">
        <f t="shared" si="5"/>
        <v>5.22</v>
      </c>
    </row>
    <row r="9" spans="1:13" ht="14.25">
      <c r="A9" s="1" t="s">
        <v>16</v>
      </c>
      <c r="B9" s="13">
        <f>2+23+32</f>
        <v>57</v>
      </c>
      <c r="C9" s="13">
        <f>633+132+83</f>
        <v>848</v>
      </c>
      <c r="D9" s="11">
        <f>82524+17839+20139</f>
        <v>120502</v>
      </c>
      <c r="E9" s="13">
        <f>12+66+113</f>
        <v>191</v>
      </c>
      <c r="F9" s="13">
        <f>827+169+192</f>
        <v>1188</v>
      </c>
      <c r="G9" s="11">
        <f>82850+17928+20221</f>
        <v>120999</v>
      </c>
      <c r="H9" s="14">
        <f t="shared" si="0"/>
        <v>16.75</v>
      </c>
      <c r="I9" s="14">
        <f t="shared" si="1"/>
        <v>42.5</v>
      </c>
      <c r="J9" s="14">
        <f t="shared" si="2"/>
        <v>62.125</v>
      </c>
      <c r="K9" s="14">
        <f t="shared" si="3"/>
        <v>36.375</v>
      </c>
      <c r="L9" s="14">
        <f t="shared" si="4"/>
        <v>291</v>
      </c>
      <c r="M9" s="55">
        <f t="shared" si="5"/>
        <v>84.39</v>
      </c>
    </row>
    <row r="10" spans="1:13" ht="14.25">
      <c r="A10" s="1" t="s">
        <v>17</v>
      </c>
      <c r="B10" s="13">
        <f>2793+5494+8481</f>
        <v>16768</v>
      </c>
      <c r="C10" s="13">
        <f>15750+3117+3240</f>
        <v>22107</v>
      </c>
      <c r="D10" s="11">
        <f>20832+4899+5081</f>
        <v>30812</v>
      </c>
      <c r="E10" s="13">
        <f>2844+5550+8532</f>
        <v>16926</v>
      </c>
      <c r="F10" s="13">
        <f>15763+3122+3247</f>
        <v>22132</v>
      </c>
      <c r="G10" s="11">
        <f>20894+4917+5097</f>
        <v>30908</v>
      </c>
      <c r="H10" s="14">
        <f t="shared" si="0"/>
        <v>19.75</v>
      </c>
      <c r="I10" s="14">
        <f t="shared" si="1"/>
        <v>3.125</v>
      </c>
      <c r="J10" s="14">
        <f t="shared" si="2"/>
        <v>12</v>
      </c>
      <c r="K10" s="14">
        <f t="shared" si="3"/>
        <v>28.625</v>
      </c>
      <c r="L10" s="14">
        <f t="shared" si="4"/>
        <v>229</v>
      </c>
      <c r="M10" s="55">
        <f t="shared" si="5"/>
        <v>66.41</v>
      </c>
    </row>
    <row r="11" spans="1:13" ht="14.25">
      <c r="A11" s="1" t="s">
        <v>149</v>
      </c>
      <c r="B11" s="13">
        <f>1114+1830+2657</f>
        <v>5601</v>
      </c>
      <c r="C11" s="13">
        <f>6458+1374+1481</f>
        <v>9313</v>
      </c>
      <c r="D11" s="11">
        <f>8518+1921+2055</f>
        <v>12494</v>
      </c>
      <c r="E11" s="13">
        <f>1117+1837+2664</f>
        <v>5618</v>
      </c>
      <c r="F11" s="13">
        <f>6484+1380+1489</f>
        <v>9353</v>
      </c>
      <c r="G11" s="11">
        <f>8553+1931+2064</f>
        <v>12548</v>
      </c>
      <c r="H11" s="14">
        <f t="shared" si="0"/>
        <v>2.125</v>
      </c>
      <c r="I11" s="14">
        <f t="shared" si="1"/>
        <v>5</v>
      </c>
      <c r="J11" s="14">
        <f t="shared" si="2"/>
        <v>6.75</v>
      </c>
      <c r="K11" s="14">
        <f t="shared" si="3"/>
        <v>3.875</v>
      </c>
      <c r="L11" s="14">
        <f t="shared" si="4"/>
        <v>31</v>
      </c>
      <c r="M11" s="55">
        <f t="shared" si="5"/>
        <v>8.99</v>
      </c>
    </row>
    <row r="12" spans="1:13" ht="14.25">
      <c r="A12" s="1" t="s">
        <v>19</v>
      </c>
      <c r="B12" s="13">
        <v>0</v>
      </c>
      <c r="C12" s="11"/>
      <c r="D12" s="11"/>
      <c r="E12" s="13">
        <v>0</v>
      </c>
      <c r="F12" s="13"/>
      <c r="G12" s="11"/>
      <c r="H12" s="14">
        <f t="shared" si="0"/>
        <v>0</v>
      </c>
      <c r="I12" s="14">
        <f t="shared" si="1"/>
        <v>0</v>
      </c>
      <c r="J12" s="14">
        <f t="shared" si="2"/>
        <v>0</v>
      </c>
      <c r="K12" s="14">
        <f t="shared" si="3"/>
        <v>0</v>
      </c>
      <c r="L12" s="14">
        <f t="shared" si="4"/>
        <v>0</v>
      </c>
      <c r="M12" s="55">
        <f t="shared" si="5"/>
        <v>0</v>
      </c>
    </row>
    <row r="13" spans="1:13" ht="24" customHeight="1">
      <c r="A13" s="16" t="s">
        <v>21</v>
      </c>
      <c r="B13" s="17"/>
      <c r="C13" s="17"/>
      <c r="D13" s="17"/>
      <c r="E13" s="17"/>
      <c r="F13" s="17"/>
      <c r="G13" s="17">
        <f>SUM(G5:G12)-SUM(D5:D12)</f>
        <v>852.8880000000063</v>
      </c>
      <c r="H13" s="18">
        <f>SUM(H5:H12)</f>
        <v>55.375</v>
      </c>
      <c r="I13" s="18">
        <f>SUM(I5:I12)</f>
        <v>60.375</v>
      </c>
      <c r="J13" s="19">
        <f>SUM(J5:J12)</f>
        <v>106.61099999999988</v>
      </c>
      <c r="K13" s="19">
        <f>SUM(K5:K12)</f>
        <v>101.61099999999988</v>
      </c>
      <c r="L13" s="19">
        <f>SUM(L5:L12)</f>
        <v>812.887999999999</v>
      </c>
      <c r="M13" s="56">
        <f>SUM(M5:M12)</f>
        <v>235.7375199999997</v>
      </c>
    </row>
    <row r="14" spans="1:13" ht="24" customHeight="1">
      <c r="A14" s="16" t="s">
        <v>150</v>
      </c>
      <c r="B14" t="s">
        <v>33</v>
      </c>
      <c r="C14">
        <v>0.52</v>
      </c>
      <c r="D14" s="17" t="s">
        <v>151</v>
      </c>
      <c r="E14" s="18">
        <f>(I13-H13)*$L$3</f>
        <v>40</v>
      </c>
      <c r="F14" s="57" t="s">
        <v>152</v>
      </c>
      <c r="G14" s="58">
        <f>E14*C14</f>
        <v>20.8</v>
      </c>
      <c r="I14" s="18"/>
      <c r="J14" s="19"/>
      <c r="K14" s="19"/>
      <c r="L14" s="19"/>
      <c r="M14" s="56"/>
    </row>
    <row r="15" spans="1:13" ht="24" customHeight="1">
      <c r="A15" s="1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  <c r="M15" s="19"/>
    </row>
    <row r="17" spans="1:6" ht="14.25">
      <c r="A17" s="3" t="s">
        <v>80</v>
      </c>
      <c r="B17" s="4"/>
      <c r="C17" s="4" t="s">
        <v>37</v>
      </c>
      <c r="D17" s="4">
        <f>C18-B18</f>
        <v>8</v>
      </c>
      <c r="E17" s="4" t="s">
        <v>153</v>
      </c>
      <c r="F17" s="54">
        <v>2.3</v>
      </c>
    </row>
    <row r="18" spans="1:6" ht="14.25">
      <c r="A18" s="5" t="s">
        <v>66</v>
      </c>
      <c r="B18" s="6">
        <v>43310</v>
      </c>
      <c r="C18" s="6">
        <v>43318</v>
      </c>
      <c r="D18" s="9" t="s">
        <v>40</v>
      </c>
      <c r="E18" s="9" t="s">
        <v>154</v>
      </c>
      <c r="F18" s="9">
        <v>250</v>
      </c>
    </row>
    <row r="19" spans="1:6" ht="14.25">
      <c r="A19" s="1" t="s">
        <v>12</v>
      </c>
      <c r="B19" s="11">
        <v>1921</v>
      </c>
      <c r="C19" s="11">
        <v>1934</v>
      </c>
      <c r="D19" s="14">
        <f aca="true" t="shared" si="6" ref="D19:D23">(C19-B19)/$D$17</f>
        <v>1.625</v>
      </c>
      <c r="F19" s="55">
        <f aca="true" t="shared" si="7" ref="F19:F23">D19*$D$17*$F$17</f>
        <v>29.9</v>
      </c>
    </row>
    <row r="20" spans="1:6" ht="14.25">
      <c r="A20" s="1" t="s">
        <v>14</v>
      </c>
      <c r="B20" s="11">
        <v>307</v>
      </c>
      <c r="C20" s="11">
        <v>322</v>
      </c>
      <c r="D20" s="14">
        <f t="shared" si="6"/>
        <v>1.875</v>
      </c>
      <c r="F20" s="55">
        <f t="shared" si="7"/>
        <v>34.5</v>
      </c>
    </row>
    <row r="21" spans="1:6" ht="14.25">
      <c r="A21" s="1" t="s">
        <v>15</v>
      </c>
      <c r="B21" s="11">
        <v>3851</v>
      </c>
      <c r="C21" s="11">
        <v>3855</v>
      </c>
      <c r="D21" s="14">
        <f t="shared" si="6"/>
        <v>0.5</v>
      </c>
      <c r="F21" s="55">
        <f t="shared" si="7"/>
        <v>9.2</v>
      </c>
    </row>
    <row r="22" spans="1:10" ht="14.25">
      <c r="A22" s="1" t="s">
        <v>19</v>
      </c>
      <c r="B22" s="11">
        <v>1854.107</v>
      </c>
      <c r="C22" s="11">
        <v>1858.947</v>
      </c>
      <c r="D22" s="14">
        <f t="shared" si="6"/>
        <v>0.6049999999999898</v>
      </c>
      <c r="F22" s="55">
        <f t="shared" si="7"/>
        <v>11.131999999999811</v>
      </c>
      <c r="J22" t="s">
        <v>155</v>
      </c>
    </row>
    <row r="23" spans="1:10" ht="14.25">
      <c r="A23" s="1" t="s">
        <v>17</v>
      </c>
      <c r="B23" s="11">
        <v>3675.166</v>
      </c>
      <c r="C23" s="11">
        <v>3726.97</v>
      </c>
      <c r="D23" s="59">
        <f t="shared" si="6"/>
        <v>6.475499999999954</v>
      </c>
      <c r="E23" s="60"/>
      <c r="F23" s="55">
        <f t="shared" si="7"/>
        <v>119.14919999999914</v>
      </c>
      <c r="G23" t="s">
        <v>156</v>
      </c>
      <c r="H23">
        <f>0.4/1000</f>
        <v>0.0004</v>
      </c>
      <c r="J23">
        <f>F24*365/1000</f>
        <v>16.17752999999992</v>
      </c>
    </row>
    <row r="24" spans="1:10" ht="14.25">
      <c r="A24" s="16" t="s">
        <v>21</v>
      </c>
      <c r="B24" s="29"/>
      <c r="C24" s="18">
        <f>SUM(C18:C23)-SUM(B18:B23)</f>
        <v>96.64400000000023</v>
      </c>
      <c r="D24" s="18">
        <f>SUM(D19:D23)</f>
        <v>11.080499999999944</v>
      </c>
      <c r="E24" s="61" t="s">
        <v>84</v>
      </c>
      <c r="F24" s="18">
        <f>D24/F18*1000</f>
        <v>44.321999999999775</v>
      </c>
      <c r="G24" s="14" t="s">
        <v>44</v>
      </c>
      <c r="H24" s="58">
        <f>-D24*H23*1000</f>
        <v>-4.432199999999979</v>
      </c>
      <c r="J24">
        <f>D24/50*365</f>
        <v>80.88764999999958</v>
      </c>
    </row>
    <row r="25" ht="14.25">
      <c r="J25">
        <f>D24/10*365</f>
        <v>404.438249999998</v>
      </c>
    </row>
    <row r="26" spans="1:7" ht="14.25">
      <c r="A26" s="3" t="s">
        <v>36</v>
      </c>
      <c r="B26" s="4">
        <f>C27-B27</f>
        <v>8</v>
      </c>
      <c r="C26" s="4" t="s">
        <v>37</v>
      </c>
      <c r="D26" s="4">
        <v>10.81</v>
      </c>
      <c r="E26" s="4" t="s">
        <v>38</v>
      </c>
      <c r="F26" s="4" t="s">
        <v>157</v>
      </c>
      <c r="G26" s="4">
        <v>5</v>
      </c>
    </row>
    <row r="27" spans="1:7" ht="14.25">
      <c r="A27" s="5" t="s">
        <v>39</v>
      </c>
      <c r="B27" s="6">
        <v>43310</v>
      </c>
      <c r="C27" s="6">
        <v>43318</v>
      </c>
      <c r="D27" s="9" t="s">
        <v>40</v>
      </c>
      <c r="E27" s="9" t="s">
        <v>5</v>
      </c>
      <c r="F27" s="9" t="s">
        <v>158</v>
      </c>
      <c r="G27" s="9" t="s">
        <v>159</v>
      </c>
    </row>
    <row r="28" spans="1:9" ht="14.25">
      <c r="A28" s="1" t="s">
        <v>17</v>
      </c>
      <c r="B28">
        <v>1313.869</v>
      </c>
      <c r="C28">
        <v>1328.732</v>
      </c>
      <c r="D28">
        <f>(C28-B28)/$B$26</f>
        <v>1.857875000000007</v>
      </c>
      <c r="E28">
        <f>D28*$D$26</f>
        <v>20.083628750000077</v>
      </c>
      <c r="F28" s="60">
        <f>C28-B28</f>
        <v>14.863000000000056</v>
      </c>
      <c r="G28" s="27">
        <f>F28*G26</f>
        <v>74.31500000000028</v>
      </c>
      <c r="H28" t="s">
        <v>42</v>
      </c>
      <c r="I28">
        <v>0.1998</v>
      </c>
    </row>
    <row r="29" spans="1:9" ht="14.25">
      <c r="A29" s="16" t="s">
        <v>21</v>
      </c>
      <c r="B29" s="17"/>
      <c r="C29" s="17"/>
      <c r="D29" s="18">
        <f>SUM(D28:D28)</f>
        <v>1.857875000000007</v>
      </c>
      <c r="E29" s="18">
        <f>SUM(E28:E28)</f>
        <v>20.083628750000077</v>
      </c>
      <c r="F29" s="18">
        <f>SUM(F28:F28)</f>
        <v>14.863000000000056</v>
      </c>
      <c r="H29" s="14" t="s">
        <v>44</v>
      </c>
      <c r="I29" s="58">
        <f>-I28*E29*B26</f>
        <v>-32.10167219400012</v>
      </c>
    </row>
    <row r="31" spans="8:9" ht="14.25">
      <c r="H31" t="s">
        <v>160</v>
      </c>
      <c r="I31" s="58">
        <f>G14+H24+I29</f>
        <v>-15.7338721940001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D22" sqref="D22"/>
    </sheetView>
  </sheetViews>
  <sheetFormatPr defaultColWidth="11.421875" defaultRowHeight="12.75"/>
  <cols>
    <col min="1" max="1" width="13.00390625" style="0" customWidth="1"/>
    <col min="2" max="2" width="9.140625" style="0" customWidth="1"/>
    <col min="3" max="3" width="9.28125" style="0" customWidth="1"/>
    <col min="5" max="5" width="9.421875" style="0" customWidth="1"/>
    <col min="6" max="6" width="12.00390625" style="0" customWidth="1"/>
    <col min="7" max="7" width="11.00390625" style="49" customWidth="1"/>
    <col min="8" max="10" width="11.57421875" style="0" customWidth="1"/>
    <col min="11" max="16384" width="11.57421875" style="0" customWidth="1"/>
  </cols>
  <sheetData>
    <row r="1" spans="1:9" ht="14.25">
      <c r="A1" s="1" t="s">
        <v>161</v>
      </c>
      <c r="B1" s="50"/>
      <c r="C1" s="50"/>
      <c r="D1" s="50"/>
      <c r="E1" s="50"/>
      <c r="F1" s="51"/>
      <c r="G1" s="52"/>
      <c r="I1" s="53"/>
    </row>
    <row r="2" spans="1:12" ht="14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 t="s">
        <v>144</v>
      </c>
      <c r="L2" s="54">
        <v>0.29</v>
      </c>
    </row>
    <row r="3" spans="1:12" ht="14.25">
      <c r="A3" s="5" t="s">
        <v>3</v>
      </c>
      <c r="B3" s="6">
        <v>42946</v>
      </c>
      <c r="C3" s="6"/>
      <c r="D3" s="7"/>
      <c r="E3" s="6">
        <v>42955</v>
      </c>
      <c r="F3" s="8" t="s">
        <v>145</v>
      </c>
      <c r="G3" s="7">
        <f>E3-B3</f>
        <v>9</v>
      </c>
      <c r="H3" s="9" t="s">
        <v>5</v>
      </c>
      <c r="I3" s="9"/>
      <c r="J3" s="9"/>
      <c r="K3" s="9" t="s">
        <v>146</v>
      </c>
      <c r="L3" s="9">
        <v>9</v>
      </c>
    </row>
    <row r="4" spans="1:13" ht="14.25">
      <c r="A4" s="1"/>
      <c r="B4" s="10" t="s">
        <v>6</v>
      </c>
      <c r="C4" s="10" t="s">
        <v>7</v>
      </c>
      <c r="D4" s="11" t="s">
        <v>8</v>
      </c>
      <c r="E4" s="10" t="s">
        <v>6</v>
      </c>
      <c r="F4" s="10" t="s">
        <v>7</v>
      </c>
      <c r="G4" s="11" t="s">
        <v>8</v>
      </c>
      <c r="H4" s="12" t="s">
        <v>6</v>
      </c>
      <c r="I4" s="12" t="s">
        <v>9</v>
      </c>
      <c r="J4" s="12" t="s">
        <v>8</v>
      </c>
      <c r="K4" s="12" t="s">
        <v>147</v>
      </c>
      <c r="L4" s="12" t="s">
        <v>11</v>
      </c>
      <c r="M4" t="s">
        <v>148</v>
      </c>
    </row>
    <row r="5" spans="1:13" ht="14.25">
      <c r="A5" s="1" t="s">
        <v>12</v>
      </c>
      <c r="B5" s="13">
        <f>1583+2958+4627</f>
        <v>9168</v>
      </c>
      <c r="C5" s="13">
        <f>4366+799+910</f>
        <v>6075</v>
      </c>
      <c r="D5" s="11">
        <f>5029+1068+5896+404+141+153</f>
        <v>12691</v>
      </c>
      <c r="E5" s="13">
        <f>1590+2965+4657</f>
        <v>9212</v>
      </c>
      <c r="F5" s="13">
        <f>4396+801+919</f>
        <v>6116</v>
      </c>
      <c r="G5" s="11">
        <f>5065+1074+5905+447+158+167</f>
        <v>12816</v>
      </c>
      <c r="H5" s="14">
        <f aca="true" t="shared" si="0" ref="H5:H12">(E5-B5)/$G$3</f>
        <v>4.888888888888889</v>
      </c>
      <c r="I5" s="14">
        <f aca="true" t="shared" si="1" ref="I5:I12">(F5-C5)/$G$3</f>
        <v>4.555555555555555</v>
      </c>
      <c r="J5" s="14">
        <f aca="true" t="shared" si="2" ref="J5:J12">(G5-D5)/$G$3</f>
        <v>13.88888888888889</v>
      </c>
      <c r="K5" s="14">
        <f aca="true" t="shared" si="3" ref="K5:K12">H5+(J5-I5)</f>
        <v>14.222222222222223</v>
      </c>
      <c r="L5" s="14">
        <f aca="true" t="shared" si="4" ref="L5:L12">K5*$L$3</f>
        <v>128</v>
      </c>
      <c r="M5" s="55">
        <f aca="true" t="shared" si="5" ref="M5:M12">L5*$L$2</f>
        <v>37.12</v>
      </c>
    </row>
    <row r="6" spans="1:13" ht="14.25">
      <c r="A6" s="1" t="s">
        <v>13</v>
      </c>
      <c r="B6" s="13">
        <f>3104+2984+4724</f>
        <v>10812</v>
      </c>
      <c r="C6" s="13"/>
      <c r="D6" s="11"/>
      <c r="E6" s="13">
        <f>3132+3003+4761</f>
        <v>10896</v>
      </c>
      <c r="F6" s="13"/>
      <c r="G6" s="11"/>
      <c r="H6" s="14">
        <f t="shared" si="0"/>
        <v>9.333333333333334</v>
      </c>
      <c r="I6" s="14">
        <f t="shared" si="1"/>
        <v>0</v>
      </c>
      <c r="J6" s="14">
        <f t="shared" si="2"/>
        <v>0</v>
      </c>
      <c r="K6" s="14">
        <f t="shared" si="3"/>
        <v>9.333333333333334</v>
      </c>
      <c r="L6" s="14">
        <f t="shared" si="4"/>
        <v>84</v>
      </c>
      <c r="M6" s="55">
        <f t="shared" si="5"/>
        <v>24.36</v>
      </c>
    </row>
    <row r="7" spans="1:13" ht="14.25">
      <c r="A7" s="1" t="s">
        <v>14</v>
      </c>
      <c r="B7" s="13">
        <f>486+1156+1980</f>
        <v>3622</v>
      </c>
      <c r="C7" s="13">
        <f>5406+1077+1143</f>
        <v>7626</v>
      </c>
      <c r="D7" s="11">
        <f>6747+1454+1583</f>
        <v>9784</v>
      </c>
      <c r="E7" s="13">
        <f>489+1165+1998</f>
        <v>3652</v>
      </c>
      <c r="F7" s="13">
        <f>5423+1079+1147</f>
        <v>7649</v>
      </c>
      <c r="G7" s="11">
        <f>6780+1460+1591</f>
        <v>9831</v>
      </c>
      <c r="H7" s="14">
        <f t="shared" si="0"/>
        <v>3.3333333333333335</v>
      </c>
      <c r="I7" s="14">
        <f t="shared" si="1"/>
        <v>2.5555555555555554</v>
      </c>
      <c r="J7" s="14">
        <f t="shared" si="2"/>
        <v>5.222222222222222</v>
      </c>
      <c r="K7" s="14">
        <f t="shared" si="3"/>
        <v>6</v>
      </c>
      <c r="L7" s="14">
        <f t="shared" si="4"/>
        <v>54</v>
      </c>
      <c r="M7" s="55">
        <f t="shared" si="5"/>
        <v>15.659999999999998</v>
      </c>
    </row>
    <row r="8" spans="1:13" ht="14.25">
      <c r="A8" s="1" t="s">
        <v>15</v>
      </c>
      <c r="B8" s="13">
        <f>115+226+325</f>
        <v>666</v>
      </c>
      <c r="C8" s="13">
        <f>6562+1352+1535</f>
        <v>9449</v>
      </c>
      <c r="D8" s="13">
        <f>6700+1422+1614</f>
        <v>9736</v>
      </c>
      <c r="E8" s="13">
        <f>116+229+333</f>
        <v>678</v>
      </c>
      <c r="F8" s="13">
        <f>6613+1360+1548</f>
        <v>9521</v>
      </c>
      <c r="G8" s="13">
        <f>6758+1432+1628</f>
        <v>9818</v>
      </c>
      <c r="H8" s="14">
        <f t="shared" si="0"/>
        <v>1.3333333333333333</v>
      </c>
      <c r="I8" s="14">
        <f t="shared" si="1"/>
        <v>8</v>
      </c>
      <c r="J8" s="14">
        <f t="shared" si="2"/>
        <v>9.11111111111111</v>
      </c>
      <c r="K8" s="14">
        <f t="shared" si="3"/>
        <v>2.4444444444444438</v>
      </c>
      <c r="L8" s="14">
        <f t="shared" si="4"/>
        <v>21.999999999999993</v>
      </c>
      <c r="M8" s="55">
        <f t="shared" si="5"/>
        <v>6.379999999999997</v>
      </c>
    </row>
    <row r="9" spans="1:13" ht="14.25">
      <c r="A9" s="1" t="s">
        <v>16</v>
      </c>
      <c r="B9" s="13">
        <f>97+563+1098</f>
        <v>1758</v>
      </c>
      <c r="C9" s="13">
        <f>69299+14823+16762</f>
        <v>100884</v>
      </c>
      <c r="D9" s="11">
        <f>70287+15216+17106</f>
        <v>102609</v>
      </c>
      <c r="E9" s="13">
        <f>97+610+1187</f>
        <v>1894</v>
      </c>
      <c r="F9" s="13">
        <f>69760+14893+16866</f>
        <v>101519</v>
      </c>
      <c r="G9" s="11">
        <f>70817+15309+17229</f>
        <v>103355</v>
      </c>
      <c r="H9" s="14">
        <f t="shared" si="0"/>
        <v>15.11111111111111</v>
      </c>
      <c r="I9" s="14">
        <f t="shared" si="1"/>
        <v>70.55555555555556</v>
      </c>
      <c r="J9" s="14">
        <f t="shared" si="2"/>
        <v>82.88888888888889</v>
      </c>
      <c r="K9" s="14">
        <f t="shared" si="3"/>
        <v>27.44444444444444</v>
      </c>
      <c r="L9" s="14">
        <f t="shared" si="4"/>
        <v>246.99999999999994</v>
      </c>
      <c r="M9" s="55">
        <f t="shared" si="5"/>
        <v>71.62999999999998</v>
      </c>
    </row>
    <row r="10" spans="1:13" ht="14.25">
      <c r="A10" s="1" t="s">
        <v>17</v>
      </c>
      <c r="B10" s="13">
        <f>2384+4678+7216</f>
        <v>14278</v>
      </c>
      <c r="C10" s="13">
        <f>14017+2784+2847</f>
        <v>19648</v>
      </c>
      <c r="D10" s="11">
        <f>18486+4363+4478</f>
        <v>27327</v>
      </c>
      <c r="E10" s="13">
        <f>2407+4725+7267</f>
        <v>14399</v>
      </c>
      <c r="F10" s="13">
        <f>14065+2791+2854</f>
        <v>19710</v>
      </c>
      <c r="G10" s="11">
        <f>18587+4382+4500</f>
        <v>27469</v>
      </c>
      <c r="H10" s="14">
        <f t="shared" si="0"/>
        <v>13.444444444444445</v>
      </c>
      <c r="I10" s="14">
        <f t="shared" si="1"/>
        <v>6.888888888888889</v>
      </c>
      <c r="J10" s="14">
        <f t="shared" si="2"/>
        <v>15.777777777777779</v>
      </c>
      <c r="K10" s="14">
        <f t="shared" si="3"/>
        <v>22.333333333333336</v>
      </c>
      <c r="L10" s="14">
        <f t="shared" si="4"/>
        <v>201.00000000000003</v>
      </c>
      <c r="M10" s="55">
        <f t="shared" si="5"/>
        <v>58.290000000000006</v>
      </c>
    </row>
    <row r="11" spans="1:13" ht="14.25">
      <c r="A11" s="1" t="s">
        <v>149</v>
      </c>
      <c r="B11" s="13">
        <f>985+1619+2289</f>
        <v>4893</v>
      </c>
      <c r="C11" s="13">
        <f>5488+1161+1245</f>
        <v>7894</v>
      </c>
      <c r="D11" s="11">
        <f>7300+1648+1750</f>
        <v>10698</v>
      </c>
      <c r="E11" s="13">
        <f>988+1624+2297</f>
        <v>4909</v>
      </c>
      <c r="F11" s="13">
        <f>5530+1168+1253</f>
        <v>7951</v>
      </c>
      <c r="G11" s="11">
        <f>7357+1658+1762</f>
        <v>10777</v>
      </c>
      <c r="H11" s="14">
        <f t="shared" si="0"/>
        <v>1.7777777777777777</v>
      </c>
      <c r="I11" s="14">
        <f t="shared" si="1"/>
        <v>6.333333333333333</v>
      </c>
      <c r="J11" s="14">
        <f t="shared" si="2"/>
        <v>8.777777777777779</v>
      </c>
      <c r="K11" s="14">
        <f t="shared" si="3"/>
        <v>4.222222222222223</v>
      </c>
      <c r="L11" s="14">
        <f t="shared" si="4"/>
        <v>38.00000000000001</v>
      </c>
      <c r="M11" s="55">
        <f t="shared" si="5"/>
        <v>11.020000000000001</v>
      </c>
    </row>
    <row r="12" spans="1:13" ht="14.25">
      <c r="A12" s="1" t="s">
        <v>19</v>
      </c>
      <c r="B12" s="13">
        <f>3745+3867+4888</f>
        <v>12500</v>
      </c>
      <c r="C12" s="11"/>
      <c r="D12" s="11"/>
      <c r="E12" s="13">
        <f>3753+3873+4899</f>
        <v>12525</v>
      </c>
      <c r="F12" s="13"/>
      <c r="G12" s="11"/>
      <c r="H12" s="14">
        <f t="shared" si="0"/>
        <v>2.7777777777777777</v>
      </c>
      <c r="I12" s="14">
        <f t="shared" si="1"/>
        <v>0</v>
      </c>
      <c r="J12" s="14">
        <f t="shared" si="2"/>
        <v>0</v>
      </c>
      <c r="K12" s="14">
        <f t="shared" si="3"/>
        <v>2.7777777777777777</v>
      </c>
      <c r="L12" s="14">
        <f t="shared" si="4"/>
        <v>25</v>
      </c>
      <c r="M12" s="55">
        <f t="shared" si="5"/>
        <v>7.249999999999999</v>
      </c>
    </row>
    <row r="13" spans="1:13" ht="24" customHeight="1">
      <c r="A13" s="16" t="s">
        <v>21</v>
      </c>
      <c r="B13" s="17"/>
      <c r="C13" s="17"/>
      <c r="D13" s="17"/>
      <c r="E13" s="17"/>
      <c r="F13" s="17"/>
      <c r="G13" s="17"/>
      <c r="H13" s="18">
        <f>SUM(H5:H12)</f>
        <v>52</v>
      </c>
      <c r="I13" s="18">
        <f>SUM(I5:I12)</f>
        <v>98.88888888888889</v>
      </c>
      <c r="J13" s="19">
        <f>SUM(J5:J12)</f>
        <v>135.66666666666666</v>
      </c>
      <c r="K13" s="19">
        <f>SUM(K5:K12)</f>
        <v>88.77777777777777</v>
      </c>
      <c r="L13" s="19">
        <f>SUM(L5:L12)</f>
        <v>799</v>
      </c>
      <c r="M13" s="56">
        <f>SUM(M5:M12)</f>
        <v>231.71</v>
      </c>
    </row>
    <row r="14" spans="1:13" ht="24" customHeight="1">
      <c r="A14" s="16" t="s">
        <v>150</v>
      </c>
      <c r="B14" t="s">
        <v>33</v>
      </c>
      <c r="C14">
        <v>0.52</v>
      </c>
      <c r="D14" s="17" t="s">
        <v>151</v>
      </c>
      <c r="E14" s="18">
        <f>(I13-H13)*10</f>
        <v>468.88888888888886</v>
      </c>
      <c r="F14" s="57" t="s">
        <v>35</v>
      </c>
      <c r="G14" s="58">
        <f>E14*C14</f>
        <v>243.82222222222222</v>
      </c>
      <c r="I14" s="18"/>
      <c r="J14" s="19"/>
      <c r="K14" s="19"/>
      <c r="L14" s="19"/>
      <c r="M14" s="56"/>
    </row>
    <row r="15" spans="1:13" ht="24" customHeight="1">
      <c r="A15" s="1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  <c r="M15" s="19"/>
    </row>
    <row r="17" spans="1:6" ht="14.25">
      <c r="A17" s="3" t="s">
        <v>80</v>
      </c>
      <c r="B17" s="4"/>
      <c r="C17" s="4" t="s">
        <v>37</v>
      </c>
      <c r="D17" s="4">
        <f>C18-B18</f>
        <v>9</v>
      </c>
      <c r="E17" s="4" t="s">
        <v>153</v>
      </c>
      <c r="F17" s="54">
        <v>2.3</v>
      </c>
    </row>
    <row r="18" spans="1:6" ht="14.25">
      <c r="A18" s="5" t="s">
        <v>66</v>
      </c>
      <c r="B18" s="6">
        <v>42946</v>
      </c>
      <c r="C18" s="6">
        <v>42955</v>
      </c>
      <c r="D18" s="9" t="s">
        <v>40</v>
      </c>
      <c r="E18" s="9" t="s">
        <v>154</v>
      </c>
      <c r="F18" s="9">
        <v>250</v>
      </c>
    </row>
    <row r="19" spans="1:6" ht="14.25">
      <c r="A19" s="1" t="s">
        <v>12</v>
      </c>
      <c r="B19" s="11">
        <v>1830</v>
      </c>
      <c r="C19" s="11">
        <v>1843</v>
      </c>
      <c r="D19" s="14">
        <f aca="true" t="shared" si="6" ref="D19:D21">(C19-B19)/$D$17</f>
        <v>1.4444444444444444</v>
      </c>
      <c r="F19" s="55">
        <f aca="true" t="shared" si="7" ref="F19:F21">D19*$D$17*$F$17</f>
        <v>29.9</v>
      </c>
    </row>
    <row r="20" spans="1:6" ht="14.25">
      <c r="A20" s="1" t="s">
        <v>14</v>
      </c>
      <c r="B20" s="11">
        <v>146</v>
      </c>
      <c r="C20" s="11">
        <v>160.5</v>
      </c>
      <c r="D20" s="14">
        <f t="shared" si="6"/>
        <v>1.6111111111111112</v>
      </c>
      <c r="F20" s="55">
        <f t="shared" si="7"/>
        <v>33.349999999999994</v>
      </c>
    </row>
    <row r="21" spans="1:8" ht="14.25">
      <c r="A21" s="1" t="s">
        <v>17</v>
      </c>
      <c r="B21" s="11">
        <v>3369.376</v>
      </c>
      <c r="C21" s="11">
        <v>3426.399</v>
      </c>
      <c r="D21" s="59">
        <f t="shared" si="6"/>
        <v>6.335888888888854</v>
      </c>
      <c r="E21" s="60"/>
      <c r="F21" s="55">
        <f t="shared" si="7"/>
        <v>131.15289999999925</v>
      </c>
      <c r="G21" t="s">
        <v>156</v>
      </c>
      <c r="H21">
        <f>0.4/1000</f>
        <v>0.0004</v>
      </c>
    </row>
    <row r="22" spans="1:8" ht="14.25">
      <c r="A22" s="16" t="s">
        <v>21</v>
      </c>
      <c r="B22" s="29"/>
      <c r="C22" s="18">
        <f>SUM(C19:C21)-SUM(B19:B21)</f>
        <v>84.52299999999923</v>
      </c>
      <c r="D22" s="18">
        <f>SUM(D19:D21)</f>
        <v>9.39144444444441</v>
      </c>
      <c r="E22" s="61" t="s">
        <v>84</v>
      </c>
      <c r="F22" s="18">
        <f>D22/F18*1000</f>
        <v>37.56577777777764</v>
      </c>
      <c r="G22" s="14" t="s">
        <v>44</v>
      </c>
      <c r="H22" s="58">
        <f>-D22*H21*1000</f>
        <v>-3.756577777777764</v>
      </c>
    </row>
    <row r="24" spans="1:7" ht="14.25">
      <c r="A24" s="3" t="s">
        <v>36</v>
      </c>
      <c r="B24" s="4">
        <f>C25-B25</f>
        <v>9</v>
      </c>
      <c r="C24" s="4" t="s">
        <v>37</v>
      </c>
      <c r="D24" s="4">
        <v>10.81</v>
      </c>
      <c r="E24" s="4" t="s">
        <v>38</v>
      </c>
      <c r="F24" s="4" t="s">
        <v>157</v>
      </c>
      <c r="G24" s="4">
        <v>5</v>
      </c>
    </row>
    <row r="25" spans="1:7" ht="14.25">
      <c r="A25" s="5" t="s">
        <v>39</v>
      </c>
      <c r="B25" s="6">
        <v>42946</v>
      </c>
      <c r="C25" s="6">
        <v>42955</v>
      </c>
      <c r="D25" s="9" t="s">
        <v>40</v>
      </c>
      <c r="E25" s="9" t="s">
        <v>5</v>
      </c>
      <c r="F25" s="9" t="s">
        <v>158</v>
      </c>
      <c r="G25" s="9" t="s">
        <v>159</v>
      </c>
    </row>
    <row r="26" spans="1:9" ht="14.25">
      <c r="A26" s="1" t="s">
        <v>17</v>
      </c>
      <c r="B26">
        <v>1166.827</v>
      </c>
      <c r="C26">
        <v>1184.879</v>
      </c>
      <c r="D26">
        <f>(C26-B26)/$B$24</f>
        <v>2.0057777777777677</v>
      </c>
      <c r="E26">
        <f>D26*$D$24</f>
        <v>21.68245777777767</v>
      </c>
      <c r="F26" s="60">
        <f>C26-B26</f>
        <v>18.051999999999907</v>
      </c>
      <c r="G26" s="27">
        <f>F26*G24</f>
        <v>90.25999999999954</v>
      </c>
      <c r="H26" t="s">
        <v>42</v>
      </c>
      <c r="I26">
        <v>0.1998</v>
      </c>
    </row>
    <row r="27" spans="1:9" ht="14.25">
      <c r="A27" s="16" t="s">
        <v>21</v>
      </c>
      <c r="B27" s="17"/>
      <c r="C27" s="17"/>
      <c r="D27" s="18">
        <f>SUM(D26:D26)</f>
        <v>2.0057777777777677</v>
      </c>
      <c r="E27" s="18">
        <f>SUM(E26:E26)</f>
        <v>21.68245777777767</v>
      </c>
      <c r="F27" s="18">
        <f>SUM(F26:F26)</f>
        <v>18.051999999999907</v>
      </c>
      <c r="H27" s="14" t="s">
        <v>44</v>
      </c>
      <c r="I27" s="58">
        <f>-I26*E27*B24</f>
        <v>-38.98939557599981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77" sqref="A77"/>
    </sheetView>
  </sheetViews>
  <sheetFormatPr defaultColWidth="11.421875" defaultRowHeight="12.75"/>
  <cols>
    <col min="1" max="1" width="14.140625" style="0" customWidth="1"/>
    <col min="2" max="4" width="11.57421875" style="0" customWidth="1"/>
    <col min="5" max="5" width="16.28125" style="0" customWidth="1"/>
    <col min="6" max="6" width="8.8515625" style="0" customWidth="1"/>
    <col min="7" max="7" width="17.7109375" style="0" customWidth="1"/>
    <col min="8" max="16384" width="11.57421875" style="0" customWidth="1"/>
  </cols>
  <sheetData>
    <row r="1" spans="1:3" ht="14.25">
      <c r="A1" s="5" t="s">
        <v>162</v>
      </c>
      <c r="B1" s="60"/>
      <c r="C1" s="60"/>
    </row>
    <row r="2" spans="1:3" ht="14.25">
      <c r="A2" s="9" t="s">
        <v>163</v>
      </c>
      <c r="B2" s="9" t="s">
        <v>164</v>
      </c>
      <c r="C2" s="9" t="s">
        <v>165</v>
      </c>
    </row>
    <row r="3" spans="1:2" ht="14.25">
      <c r="A3" t="s">
        <v>166</v>
      </c>
      <c r="B3">
        <v>200</v>
      </c>
    </row>
    <row r="4" spans="1:2" ht="14.25">
      <c r="A4" t="s">
        <v>167</v>
      </c>
      <c r="B4">
        <v>100</v>
      </c>
    </row>
    <row r="5" spans="1:2" ht="14.25">
      <c r="A5" t="s">
        <v>168</v>
      </c>
      <c r="B5">
        <v>100</v>
      </c>
    </row>
    <row r="6" spans="1:2" ht="14.25">
      <c r="A6" t="s">
        <v>169</v>
      </c>
      <c r="B6">
        <v>50</v>
      </c>
    </row>
    <row r="7" spans="1:3" ht="14.25">
      <c r="A7" t="s">
        <v>170</v>
      </c>
      <c r="B7">
        <v>200</v>
      </c>
      <c r="C7">
        <v>100</v>
      </c>
    </row>
    <row r="8" spans="1:2" ht="14.25">
      <c r="A8" t="s">
        <v>171</v>
      </c>
      <c r="B8">
        <v>250</v>
      </c>
    </row>
    <row r="9" spans="1:2" ht="14.25">
      <c r="A9" t="s">
        <v>19</v>
      </c>
      <c r="B9">
        <v>200</v>
      </c>
    </row>
    <row r="10" spans="1:2" ht="14.25">
      <c r="A10" t="s">
        <v>172</v>
      </c>
      <c r="B10">
        <v>160</v>
      </c>
    </row>
    <row r="11" spans="1:2" ht="14.25">
      <c r="A11" t="s">
        <v>173</v>
      </c>
      <c r="B11">
        <v>30</v>
      </c>
    </row>
    <row r="12" spans="1:2" ht="14.25">
      <c r="A12" t="s">
        <v>49</v>
      </c>
      <c r="B12">
        <v>170</v>
      </c>
    </row>
    <row r="13" spans="1:3" ht="14.25">
      <c r="A13" t="s">
        <v>174</v>
      </c>
      <c r="B13">
        <v>40</v>
      </c>
      <c r="C13">
        <v>40</v>
      </c>
    </row>
    <row r="14" spans="1:3" ht="14.25">
      <c r="A14" s="17">
        <v>10</v>
      </c>
      <c r="B14" s="62">
        <f>SUM(B3:B12)</f>
        <v>1460</v>
      </c>
      <c r="C14" s="17"/>
    </row>
    <row r="15" spans="1:3" ht="14.25">
      <c r="A15" s="9" t="s">
        <v>175</v>
      </c>
      <c r="B15" s="9"/>
      <c r="C15" s="9"/>
    </row>
    <row r="16" spans="1:2" ht="14.25">
      <c r="A16" t="s">
        <v>176</v>
      </c>
      <c r="B16">
        <v>20</v>
      </c>
    </row>
    <row r="17" spans="1:2" ht="14.25">
      <c r="A17" t="s">
        <v>177</v>
      </c>
      <c r="B17">
        <v>50</v>
      </c>
    </row>
    <row r="18" spans="1:2" ht="14.25">
      <c r="A18" t="s">
        <v>178</v>
      </c>
      <c r="B18">
        <v>20</v>
      </c>
    </row>
    <row r="19" spans="1:2" ht="14.25">
      <c r="A19" t="s">
        <v>179</v>
      </c>
      <c r="B19">
        <v>20</v>
      </c>
    </row>
    <row r="20" spans="1:2" ht="14.25">
      <c r="A20" t="s">
        <v>180</v>
      </c>
      <c r="B20">
        <v>30</v>
      </c>
    </row>
    <row r="21" spans="1:3" ht="14.25">
      <c r="A21" s="17">
        <v>3</v>
      </c>
      <c r="B21" s="62">
        <f>SUM(B16:B20)</f>
        <v>140</v>
      </c>
      <c r="C21" s="17"/>
    </row>
    <row r="22" ht="14.25"/>
    <row r="23" spans="1:4" ht="14.25">
      <c r="A23" s="5" t="s">
        <v>181</v>
      </c>
      <c r="D23" s="5" t="s">
        <v>182</v>
      </c>
    </row>
    <row r="24" spans="1:5" ht="14.25">
      <c r="A24" s="9" t="s">
        <v>183</v>
      </c>
      <c r="B24" s="9" t="s">
        <v>184</v>
      </c>
      <c r="C24" s="9" t="s">
        <v>185</v>
      </c>
      <c r="D24" s="9" t="s">
        <v>184</v>
      </c>
      <c r="E24" s="9" t="s">
        <v>185</v>
      </c>
    </row>
    <row r="25" spans="1:5" ht="14.25">
      <c r="A25" t="s">
        <v>186</v>
      </c>
      <c r="B25">
        <v>300</v>
      </c>
      <c r="C25">
        <f aca="true" t="shared" si="0" ref="C25:C29">B25*15</f>
        <v>4500</v>
      </c>
      <c r="D25">
        <v>8</v>
      </c>
      <c r="E25">
        <f aca="true" t="shared" si="1" ref="E25:E29">D25*15</f>
        <v>120</v>
      </c>
    </row>
    <row r="26" spans="1:5" ht="14.25">
      <c r="A26" t="s">
        <v>187</v>
      </c>
      <c r="B26">
        <v>120</v>
      </c>
      <c r="C26">
        <f t="shared" si="0"/>
        <v>1800</v>
      </c>
      <c r="D26">
        <v>4</v>
      </c>
      <c r="E26">
        <f t="shared" si="1"/>
        <v>60</v>
      </c>
    </row>
    <row r="27" spans="1:5" ht="14.25">
      <c r="A27" t="s">
        <v>188</v>
      </c>
      <c r="B27">
        <v>60</v>
      </c>
      <c r="C27">
        <f t="shared" si="0"/>
        <v>900</v>
      </c>
      <c r="D27">
        <v>4</v>
      </c>
      <c r="E27">
        <f t="shared" si="1"/>
        <v>60</v>
      </c>
    </row>
    <row r="28" spans="1:5" ht="14.25">
      <c r="A28" t="s">
        <v>189</v>
      </c>
      <c r="B28">
        <v>20</v>
      </c>
      <c r="C28">
        <f t="shared" si="0"/>
        <v>300</v>
      </c>
      <c r="D28">
        <v>1</v>
      </c>
      <c r="E28">
        <f t="shared" si="1"/>
        <v>15</v>
      </c>
    </row>
    <row r="29" spans="1:5" ht="14.25">
      <c r="A29" t="s">
        <v>190</v>
      </c>
      <c r="B29">
        <v>60</v>
      </c>
      <c r="C29">
        <f t="shared" si="0"/>
        <v>900</v>
      </c>
      <c r="D29">
        <v>3</v>
      </c>
      <c r="E29">
        <f t="shared" si="1"/>
        <v>45</v>
      </c>
    </row>
    <row r="30" spans="1:3" ht="14.25">
      <c r="A30" t="s">
        <v>191</v>
      </c>
      <c r="B30">
        <v>100</v>
      </c>
      <c r="C30">
        <f>B30*20</f>
        <v>2000</v>
      </c>
    </row>
    <row r="31" spans="1:3" ht="14.25">
      <c r="A31" t="s">
        <v>192</v>
      </c>
      <c r="B31">
        <v>400</v>
      </c>
      <c r="C31">
        <v>400</v>
      </c>
    </row>
    <row r="32" spans="1:5" ht="14.25">
      <c r="A32" s="63"/>
      <c r="B32" s="63">
        <f>SUM(B25:B30)</f>
        <v>660</v>
      </c>
      <c r="C32" s="63">
        <f>SUM(C25:C31)</f>
        <v>10800</v>
      </c>
      <c r="D32" s="63">
        <f>SUM(D25:D31)</f>
        <v>20</v>
      </c>
      <c r="E32" s="64">
        <f>D32*15</f>
        <v>300</v>
      </c>
    </row>
    <row r="33" spans="1:5" ht="14.25">
      <c r="A33" s="9" t="s">
        <v>193</v>
      </c>
      <c r="B33" s="9" t="s">
        <v>184</v>
      </c>
      <c r="C33" s="9"/>
      <c r="D33" s="9"/>
      <c r="E33" s="9" t="s">
        <v>194</v>
      </c>
    </row>
    <row r="34" spans="1:5" ht="14.25">
      <c r="A34" t="s">
        <v>195</v>
      </c>
      <c r="B34">
        <v>3</v>
      </c>
      <c r="E34" s="1">
        <f>B34*20</f>
        <v>60</v>
      </c>
    </row>
    <row r="35" spans="1:5" ht="14.25">
      <c r="A35" s="63"/>
      <c r="B35" s="63"/>
      <c r="C35" s="63"/>
      <c r="D35" s="63"/>
      <c r="E35" s="63"/>
    </row>
    <row r="36" ht="14.25"/>
    <row r="37" ht="14.25">
      <c r="A37" s="5" t="s">
        <v>196</v>
      </c>
    </row>
    <row r="38" spans="1:5" ht="14.25">
      <c r="A38" s="9" t="s">
        <v>162</v>
      </c>
      <c r="B38" s="9" t="s">
        <v>197</v>
      </c>
      <c r="C38" s="9" t="s">
        <v>198</v>
      </c>
      <c r="D38" s="9" t="s">
        <v>199</v>
      </c>
      <c r="E38" s="9" t="s">
        <v>200</v>
      </c>
    </row>
    <row r="39" spans="1:3" ht="14.25">
      <c r="A39" t="s">
        <v>166</v>
      </c>
      <c r="B39">
        <v>70</v>
      </c>
      <c r="C39">
        <v>30</v>
      </c>
    </row>
    <row r="40" spans="1:3" ht="14.25">
      <c r="A40" t="s">
        <v>167</v>
      </c>
      <c r="B40">
        <v>50</v>
      </c>
      <c r="C40">
        <v>15</v>
      </c>
    </row>
    <row r="41" spans="1:3" ht="14.25">
      <c r="A41" t="s">
        <v>168</v>
      </c>
      <c r="B41">
        <v>40</v>
      </c>
      <c r="C41">
        <v>20</v>
      </c>
    </row>
    <row r="42" spans="1:3" ht="14.25">
      <c r="A42" t="s">
        <v>169</v>
      </c>
      <c r="B42">
        <v>0</v>
      </c>
      <c r="C42">
        <v>25</v>
      </c>
    </row>
    <row r="43" spans="1:3" ht="14.25">
      <c r="A43" t="s">
        <v>170</v>
      </c>
      <c r="B43">
        <v>100</v>
      </c>
      <c r="C43">
        <v>30</v>
      </c>
    </row>
    <row r="44" spans="1:3" ht="14.25">
      <c r="A44" t="s">
        <v>171</v>
      </c>
      <c r="B44">
        <v>100</v>
      </c>
      <c r="C44">
        <v>55</v>
      </c>
    </row>
    <row r="45" spans="1:3" ht="14.25">
      <c r="A45" t="s">
        <v>19</v>
      </c>
      <c r="B45">
        <v>100</v>
      </c>
      <c r="C45">
        <v>100</v>
      </c>
    </row>
    <row r="46" spans="1:3" ht="14.25">
      <c r="A46" t="s">
        <v>172</v>
      </c>
      <c r="B46">
        <v>70</v>
      </c>
      <c r="C46">
        <v>70</v>
      </c>
    </row>
    <row r="47" spans="1:3" ht="14.25">
      <c r="A47" t="s">
        <v>173</v>
      </c>
      <c r="B47">
        <v>20</v>
      </c>
      <c r="C47">
        <v>0</v>
      </c>
    </row>
    <row r="48" spans="1:3" ht="14.25">
      <c r="A48" t="s">
        <v>49</v>
      </c>
      <c r="B48">
        <v>110</v>
      </c>
      <c r="C48">
        <v>10</v>
      </c>
    </row>
    <row r="49" spans="1:3" ht="14.25">
      <c r="A49" t="s">
        <v>176</v>
      </c>
      <c r="B49">
        <v>2</v>
      </c>
      <c r="C49">
        <v>2</v>
      </c>
    </row>
    <row r="50" spans="1:3" ht="14.25">
      <c r="A50" t="s">
        <v>177</v>
      </c>
      <c r="B50">
        <v>35</v>
      </c>
      <c r="C50">
        <v>5</v>
      </c>
    </row>
    <row r="51" spans="1:3" ht="14.25">
      <c r="A51" t="s">
        <v>178</v>
      </c>
      <c r="B51">
        <v>2</v>
      </c>
      <c r="C51">
        <v>0</v>
      </c>
    </row>
    <row r="52" spans="1:6" ht="14.25">
      <c r="A52" s="17"/>
      <c r="B52" s="17">
        <f>SUM(B39:B51)</f>
        <v>699</v>
      </c>
      <c r="C52" s="17">
        <f>SUM(C39:C51)</f>
        <v>362</v>
      </c>
      <c r="D52" s="17">
        <f>SUM(B52:C52)</f>
        <v>1061</v>
      </c>
      <c r="E52" s="65">
        <f>D52*1000</f>
        <v>1061000</v>
      </c>
      <c r="F52" s="66">
        <f>E52/$E$66</f>
        <v>0.3220030349013657</v>
      </c>
    </row>
    <row r="53" spans="1:5" ht="14.25">
      <c r="A53" s="9" t="s">
        <v>201</v>
      </c>
      <c r="B53" s="9" t="s">
        <v>202</v>
      </c>
      <c r="C53" s="9" t="s">
        <v>203</v>
      </c>
      <c r="D53" s="9"/>
      <c r="E53" s="9"/>
    </row>
    <row r="54" spans="1:6" ht="14.25">
      <c r="A54" s="17"/>
      <c r="B54" s="17">
        <v>100</v>
      </c>
      <c r="C54" s="67">
        <v>2</v>
      </c>
      <c r="D54" s="17">
        <f>B54*C54</f>
        <v>200</v>
      </c>
      <c r="E54" s="65">
        <f>D54*1000</f>
        <v>200000</v>
      </c>
      <c r="F54" s="66">
        <f>E54/$E$66</f>
        <v>0.06069802731411229</v>
      </c>
    </row>
    <row r="55" spans="1:5" ht="14.25">
      <c r="A55" s="9" t="s">
        <v>183</v>
      </c>
      <c r="B55" s="9" t="s">
        <v>204</v>
      </c>
      <c r="C55" s="9" t="s">
        <v>205</v>
      </c>
      <c r="D55" s="9" t="s">
        <v>206</v>
      </c>
      <c r="E55" s="9" t="s">
        <v>207</v>
      </c>
    </row>
    <row r="56" spans="1:3" ht="14.25">
      <c r="A56" t="s">
        <v>208</v>
      </c>
      <c r="B56">
        <v>3</v>
      </c>
      <c r="C56">
        <v>3</v>
      </c>
    </row>
    <row r="57" spans="1:3" ht="14.25">
      <c r="A57" t="s">
        <v>209</v>
      </c>
      <c r="B57">
        <v>31</v>
      </c>
      <c r="C57">
        <v>30</v>
      </c>
    </row>
    <row r="58" spans="1:3" ht="14.25">
      <c r="A58" t="s">
        <v>210</v>
      </c>
      <c r="B58">
        <v>37</v>
      </c>
      <c r="C58">
        <v>34</v>
      </c>
    </row>
    <row r="59" spans="1:3" ht="14.25">
      <c r="A59" t="s">
        <v>49</v>
      </c>
      <c r="B59">
        <v>5</v>
      </c>
      <c r="C59">
        <v>5</v>
      </c>
    </row>
    <row r="60" spans="1:3" ht="14.25">
      <c r="A60" t="s">
        <v>211</v>
      </c>
      <c r="B60">
        <v>1</v>
      </c>
      <c r="C60">
        <v>1</v>
      </c>
    </row>
    <row r="61" spans="1:3" ht="14.25">
      <c r="A61" t="s">
        <v>212</v>
      </c>
      <c r="B61">
        <v>2</v>
      </c>
      <c r="C61">
        <v>2</v>
      </c>
    </row>
    <row r="62" spans="1:7" ht="14.25">
      <c r="A62" s="63"/>
      <c r="B62" s="63">
        <f>SUM(B56:B61)</f>
        <v>79</v>
      </c>
      <c r="C62" s="63">
        <f>SUM(C56:C61)</f>
        <v>75</v>
      </c>
      <c r="D62" s="63">
        <f>C62*D63</f>
        <v>450</v>
      </c>
      <c r="E62" s="68">
        <f>D62*1000</f>
        <v>450000</v>
      </c>
      <c r="F62" s="66">
        <f>E62/$E$66</f>
        <v>0.13657056145675264</v>
      </c>
      <c r="G62" s="69" t="s">
        <v>213</v>
      </c>
    </row>
    <row r="63" spans="1:8" ht="14.25">
      <c r="A63" s="70"/>
      <c r="B63" s="70"/>
      <c r="C63" s="70" t="s">
        <v>214</v>
      </c>
      <c r="D63" s="70">
        <v>6</v>
      </c>
      <c r="E63" s="70"/>
      <c r="G63" s="27">
        <f>SUM(E52:E62)</f>
        <v>1711000</v>
      </c>
      <c r="H63" s="66">
        <f>G63/$E$66</f>
        <v>0.5192716236722307</v>
      </c>
    </row>
    <row r="64" spans="1:5" ht="14.25">
      <c r="A64" s="9" t="s">
        <v>215</v>
      </c>
      <c r="B64" s="9" t="s">
        <v>216</v>
      </c>
      <c r="C64" s="9" t="s">
        <v>217</v>
      </c>
      <c r="D64" s="9" t="s">
        <v>218</v>
      </c>
      <c r="E64" s="9" t="s">
        <v>219</v>
      </c>
    </row>
    <row r="65" spans="2:6" ht="14.25">
      <c r="B65">
        <f>B32/2</f>
        <v>330</v>
      </c>
      <c r="C65" s="32">
        <f>B65*5*8</f>
        <v>13200</v>
      </c>
      <c r="D65">
        <f>C65*20</f>
        <v>264000</v>
      </c>
      <c r="E65" s="71">
        <f>D65*6</f>
        <v>1584000</v>
      </c>
      <c r="F65" s="66">
        <f>E65/$E$66</f>
        <v>0.4807283763277693</v>
      </c>
    </row>
    <row r="66" spans="1:5" ht="15.75">
      <c r="A66" s="72" t="s">
        <v>220</v>
      </c>
      <c r="B66" s="72"/>
      <c r="C66" s="72"/>
      <c r="D66" s="72"/>
      <c r="E66" s="73">
        <f>SUM(E52:E65)</f>
        <v>3295000</v>
      </c>
    </row>
    <row r="67" spans="1:6" ht="14.25">
      <c r="A67" t="s">
        <v>221</v>
      </c>
      <c r="C67" s="27"/>
      <c r="D67" t="s">
        <v>222</v>
      </c>
      <c r="E67" s="27">
        <v>10000</v>
      </c>
      <c r="F67" s="66">
        <f>E67/E66</f>
        <v>0.0030349013657056147</v>
      </c>
    </row>
    <row r="70" ht="14.25"/>
    <row r="71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13" sqref="D13"/>
    </sheetView>
  </sheetViews>
  <sheetFormatPr defaultColWidth="11.421875" defaultRowHeight="12.75"/>
  <cols>
    <col min="1" max="1" width="13.00390625" style="0" customWidth="1"/>
    <col min="2" max="2" width="9.140625" style="0" customWidth="1"/>
    <col min="3" max="3" width="9.28125" style="0" customWidth="1"/>
    <col min="5" max="5" width="9.421875" style="0" customWidth="1"/>
    <col min="6" max="6" width="12.00390625" style="0" customWidth="1"/>
    <col min="7" max="7" width="11.00390625" style="49" customWidth="1"/>
    <col min="8" max="10" width="11.57421875" style="0" customWidth="1"/>
    <col min="11" max="16384" width="11.57421875" style="0" customWidth="1"/>
  </cols>
  <sheetData>
    <row r="1" spans="1:9" ht="12">
      <c r="A1" s="1" t="s">
        <v>223</v>
      </c>
      <c r="B1" s="50"/>
      <c r="C1" s="50"/>
      <c r="D1" s="50"/>
      <c r="E1" s="50"/>
      <c r="F1" s="51"/>
      <c r="G1" s="52"/>
      <c r="I1" s="53"/>
    </row>
    <row r="2" spans="1:9" ht="14.25">
      <c r="A2" s="1" t="s">
        <v>3</v>
      </c>
      <c r="B2" s="50">
        <v>41854</v>
      </c>
      <c r="C2" s="50"/>
      <c r="D2" s="50">
        <v>41861</v>
      </c>
      <c r="E2" s="50"/>
      <c r="F2" s="51" t="s">
        <v>224</v>
      </c>
      <c r="G2" s="52"/>
      <c r="I2" s="53"/>
    </row>
    <row r="3" spans="1:9" ht="14.25">
      <c r="A3" s="1"/>
      <c r="B3" s="50" t="s">
        <v>6</v>
      </c>
      <c r="C3" s="50" t="s">
        <v>7</v>
      </c>
      <c r="D3" s="50" t="s">
        <v>6</v>
      </c>
      <c r="E3" s="50" t="s">
        <v>7</v>
      </c>
      <c r="F3" s="51" t="s">
        <v>6</v>
      </c>
      <c r="G3" s="52" t="s">
        <v>7</v>
      </c>
      <c r="H3" t="s">
        <v>150</v>
      </c>
      <c r="I3" s="74" t="s">
        <v>225</v>
      </c>
    </row>
    <row r="4" spans="1:9" ht="14.25">
      <c r="A4" s="1" t="s">
        <v>12</v>
      </c>
      <c r="B4" s="12">
        <f>821+1683+2719</f>
        <v>5223</v>
      </c>
      <c r="C4" s="12">
        <f>2364+420+458</f>
        <v>3242</v>
      </c>
      <c r="D4" s="12">
        <f>828+1693+2739</f>
        <v>5260</v>
      </c>
      <c r="E4" s="12">
        <f>2375+422+461</f>
        <v>3258</v>
      </c>
      <c r="F4" s="75">
        <f aca="true" t="shared" si="0" ref="F4:F12">D4-B4</f>
        <v>37</v>
      </c>
      <c r="G4" s="49">
        <f aca="true" t="shared" si="1" ref="G4:G12">E4-C4</f>
        <v>16</v>
      </c>
      <c r="H4" s="76">
        <f aca="true" t="shared" si="2" ref="H4:H12">G4-F4</f>
        <v>-21</v>
      </c>
      <c r="I4" s="15">
        <f aca="true" t="shared" si="3" ref="I4:I11">F4/7</f>
        <v>5.285714285714286</v>
      </c>
    </row>
    <row r="5" spans="1:9" ht="14.25">
      <c r="A5" s="1" t="s">
        <v>13</v>
      </c>
      <c r="B5" s="12">
        <f>1784+1591+2651</f>
        <v>6026</v>
      </c>
      <c r="C5" s="12"/>
      <c r="D5" s="12">
        <f>1819+1607+2668</f>
        <v>6094</v>
      </c>
      <c r="E5" s="12"/>
      <c r="F5" s="75">
        <f t="shared" si="0"/>
        <v>68</v>
      </c>
      <c r="G5" s="49">
        <f t="shared" si="1"/>
        <v>0</v>
      </c>
      <c r="H5" s="76">
        <f t="shared" si="2"/>
        <v>-68</v>
      </c>
      <c r="I5" s="15">
        <f t="shared" si="3"/>
        <v>9.714285714285714</v>
      </c>
    </row>
    <row r="6" spans="1:9" ht="14.25">
      <c r="A6" s="1" t="s">
        <v>14</v>
      </c>
      <c r="B6" s="12">
        <f>344+709+1210</f>
        <v>2263</v>
      </c>
      <c r="C6" s="12">
        <f>3554+715+744</f>
        <v>5013</v>
      </c>
      <c r="D6" s="12">
        <f>347+716+1227</f>
        <v>2290</v>
      </c>
      <c r="E6" s="12">
        <f>3566+717+747</f>
        <v>5030</v>
      </c>
      <c r="F6" s="75">
        <f t="shared" si="0"/>
        <v>27</v>
      </c>
      <c r="G6" s="49">
        <f t="shared" si="1"/>
        <v>17</v>
      </c>
      <c r="H6" s="76">
        <f t="shared" si="2"/>
        <v>-10</v>
      </c>
      <c r="I6" s="15">
        <f t="shared" si="3"/>
        <v>3.857142857142857</v>
      </c>
    </row>
    <row r="7" spans="1:9" ht="14.25">
      <c r="A7" s="1" t="s">
        <v>15</v>
      </c>
      <c r="B7" s="12">
        <f>52+119+157</f>
        <v>328</v>
      </c>
      <c r="C7" s="12">
        <f>3711+762+839</f>
        <v>5312</v>
      </c>
      <c r="D7" s="12">
        <f>52+121+161</f>
        <v>334</v>
      </c>
      <c r="E7" s="12">
        <f>3748+769+847</f>
        <v>5364</v>
      </c>
      <c r="F7" s="75">
        <f t="shared" si="0"/>
        <v>6</v>
      </c>
      <c r="G7" s="49">
        <f t="shared" si="1"/>
        <v>52</v>
      </c>
      <c r="H7" s="76">
        <f t="shared" si="2"/>
        <v>46</v>
      </c>
      <c r="I7" s="15">
        <f t="shared" si="3"/>
        <v>0.8571428571428571</v>
      </c>
    </row>
    <row r="8" spans="1:9" ht="14.25">
      <c r="A8" s="1" t="s">
        <v>226</v>
      </c>
      <c r="B8" s="12">
        <f>9+67+113</f>
        <v>189</v>
      </c>
      <c r="C8" s="12">
        <f>30641+6596+7279</f>
        <v>44516</v>
      </c>
      <c r="D8" s="12">
        <f>9+91+153</f>
        <v>253</v>
      </c>
      <c r="E8" s="12">
        <f>30983+6670+7358</f>
        <v>45011</v>
      </c>
      <c r="F8" s="75">
        <f t="shared" si="0"/>
        <v>64</v>
      </c>
      <c r="G8" s="49">
        <f t="shared" si="1"/>
        <v>495</v>
      </c>
      <c r="H8" s="76">
        <f t="shared" si="2"/>
        <v>431</v>
      </c>
      <c r="I8" s="15">
        <f t="shared" si="3"/>
        <v>9.142857142857142</v>
      </c>
    </row>
    <row r="9" spans="1:9" ht="14.25">
      <c r="A9" s="1" t="s">
        <v>49</v>
      </c>
      <c r="B9" s="12">
        <f>1140+2395+3779</f>
        <v>7314</v>
      </c>
      <c r="C9" s="12">
        <f>8769+1711+1689</f>
        <v>12169</v>
      </c>
      <c r="D9" s="12">
        <f>1181+2451+3842</f>
        <v>7474</v>
      </c>
      <c r="E9" s="12">
        <f>8787+1714+1691</f>
        <v>12192</v>
      </c>
      <c r="F9" s="75">
        <f t="shared" si="0"/>
        <v>160</v>
      </c>
      <c r="G9" s="49">
        <f t="shared" si="1"/>
        <v>23</v>
      </c>
      <c r="H9" s="76">
        <f t="shared" si="2"/>
        <v>-137</v>
      </c>
      <c r="I9" s="15">
        <f t="shared" si="3"/>
        <v>22.857142857142858</v>
      </c>
    </row>
    <row r="10" spans="1:9" ht="14.25">
      <c r="A10" s="1" t="s">
        <v>18</v>
      </c>
      <c r="B10" s="12">
        <f>589+853+1066</f>
        <v>2508</v>
      </c>
      <c r="C10" s="12">
        <f>2476+526+549</f>
        <v>3551</v>
      </c>
      <c r="D10" s="12">
        <f>594+862+1072</f>
        <v>2528</v>
      </c>
      <c r="E10" s="12">
        <f>2505+532+555</f>
        <v>3592</v>
      </c>
      <c r="F10" s="75">
        <f t="shared" si="0"/>
        <v>20</v>
      </c>
      <c r="G10" s="49">
        <f t="shared" si="1"/>
        <v>41</v>
      </c>
      <c r="H10" s="76">
        <f t="shared" si="2"/>
        <v>21</v>
      </c>
      <c r="I10" s="15">
        <f t="shared" si="3"/>
        <v>2.857142857142857</v>
      </c>
    </row>
    <row r="11" spans="1:9" ht="14.25">
      <c r="A11" s="1" t="s">
        <v>19</v>
      </c>
      <c r="B11" s="12">
        <f>2306+2313+2792</f>
        <v>7411</v>
      </c>
      <c r="D11" s="12">
        <f>2311+2319+2799</f>
        <v>7429</v>
      </c>
      <c r="E11" s="12"/>
      <c r="F11" s="75">
        <f t="shared" si="0"/>
        <v>18</v>
      </c>
      <c r="G11" s="49">
        <f t="shared" si="1"/>
        <v>0</v>
      </c>
      <c r="H11" s="76">
        <f t="shared" si="2"/>
        <v>-18</v>
      </c>
      <c r="I11" s="15">
        <f t="shared" si="3"/>
        <v>2.5714285714285716</v>
      </c>
    </row>
    <row r="12" spans="1:9" ht="14.25">
      <c r="A12" s="1" t="s">
        <v>20</v>
      </c>
      <c r="B12" s="12">
        <v>0</v>
      </c>
      <c r="C12" s="12"/>
      <c r="D12" s="12">
        <v>35</v>
      </c>
      <c r="E12" s="12"/>
      <c r="F12" s="75">
        <f t="shared" si="0"/>
        <v>35</v>
      </c>
      <c r="G12" s="49">
        <f t="shared" si="1"/>
        <v>0</v>
      </c>
      <c r="H12" s="76">
        <f t="shared" si="2"/>
        <v>-35</v>
      </c>
      <c r="I12" s="15">
        <v>1</v>
      </c>
    </row>
    <row r="13" spans="1:10" ht="14.25">
      <c r="A13" s="17"/>
      <c r="B13" s="17"/>
      <c r="C13" s="17"/>
      <c r="D13" s="17"/>
      <c r="E13" s="17"/>
      <c r="F13" s="17">
        <f>SUM(F4:F12)</f>
        <v>435</v>
      </c>
      <c r="G13" s="17">
        <f>SUM(G4:G12)</f>
        <v>644</v>
      </c>
      <c r="H13" s="62">
        <f>SUM(H4:H12)</f>
        <v>209</v>
      </c>
      <c r="I13" s="77">
        <f>AVERAGE(I4:I12)</f>
        <v>6.46031746031746</v>
      </c>
      <c r="J13" s="1"/>
    </row>
    <row r="14" ht="24" customHeight="1">
      <c r="A14" t="s">
        <v>227</v>
      </c>
    </row>
    <row r="15" spans="1:5" ht="28.5" customHeight="1">
      <c r="A15" s="78"/>
      <c r="B15" s="79" t="s">
        <v>228</v>
      </c>
      <c r="C15" s="79" t="s">
        <v>229</v>
      </c>
      <c r="D15" s="79" t="s">
        <v>150</v>
      </c>
      <c r="E15" s="78"/>
    </row>
    <row r="16" spans="1:5" ht="28.5" customHeight="1">
      <c r="A16" s="78" t="s">
        <v>230</v>
      </c>
      <c r="B16" s="80">
        <f>F13</f>
        <v>435</v>
      </c>
      <c r="C16" s="80">
        <f>G13</f>
        <v>644</v>
      </c>
      <c r="D16" s="81">
        <f>H13</f>
        <v>209</v>
      </c>
      <c r="E16" s="82" t="s">
        <v>231</v>
      </c>
    </row>
    <row r="17" spans="1:5" ht="58.5">
      <c r="A17" s="79" t="s">
        <v>232</v>
      </c>
      <c r="B17" s="83">
        <f>F8+F9</f>
        <v>224</v>
      </c>
      <c r="C17" s="83">
        <f>G8+G9</f>
        <v>518</v>
      </c>
      <c r="D17" s="84">
        <f>H8+H9</f>
        <v>294</v>
      </c>
      <c r="E17" s="82" t="s">
        <v>231</v>
      </c>
    </row>
    <row r="18" ht="14.25"/>
    <row r="19" ht="14.25"/>
    <row r="20" ht="14.25"/>
    <row r="21" ht="14.25"/>
    <row r="22" ht="14.25"/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9"/>
  <sheetViews>
    <sheetView workbookViewId="0" topLeftCell="A1">
      <selection activeCell="C12" sqref="C12"/>
    </sheetView>
  </sheetViews>
  <sheetFormatPr defaultColWidth="11.421875" defaultRowHeight="12.75"/>
  <cols>
    <col min="1" max="4" width="11.57421875" style="0" customWidth="1"/>
    <col min="5" max="5" width="15.57421875" style="0" customWidth="1"/>
    <col min="6" max="16384" width="11.57421875" style="0" customWidth="1"/>
  </cols>
  <sheetData>
    <row r="1" spans="1:12" ht="14.25">
      <c r="A1" s="85" t="s">
        <v>233</v>
      </c>
      <c r="J1" t="s">
        <v>234</v>
      </c>
      <c r="K1" s="49"/>
      <c r="L1" t="s">
        <v>235</v>
      </c>
    </row>
    <row r="2" spans="1:24" ht="13.5">
      <c r="A2" t="s">
        <v>3</v>
      </c>
      <c r="B2" t="s">
        <v>236</v>
      </c>
      <c r="J2" s="50" t="s">
        <v>6</v>
      </c>
      <c r="K2" t="s">
        <v>9</v>
      </c>
      <c r="L2" s="50" t="s">
        <v>6</v>
      </c>
      <c r="M2" t="s">
        <v>9</v>
      </c>
      <c r="P2" t="s">
        <v>237</v>
      </c>
      <c r="R2" t="s">
        <v>238</v>
      </c>
      <c r="T2" t="s">
        <v>6</v>
      </c>
      <c r="U2" t="s">
        <v>7</v>
      </c>
      <c r="V2" t="s">
        <v>8</v>
      </c>
      <c r="W2" t="s">
        <v>239</v>
      </c>
      <c r="X2" t="s">
        <v>11</v>
      </c>
    </row>
    <row r="3" spans="2:13" ht="13.5">
      <c r="B3" s="12" t="s">
        <v>6</v>
      </c>
      <c r="C3" s="12" t="s">
        <v>9</v>
      </c>
      <c r="D3" s="12" t="s">
        <v>8</v>
      </c>
      <c r="E3" s="12" t="s">
        <v>10</v>
      </c>
      <c r="F3" s="12" t="s">
        <v>11</v>
      </c>
      <c r="G3" t="s">
        <v>240</v>
      </c>
      <c r="H3" t="s">
        <v>241</v>
      </c>
      <c r="J3" s="50">
        <v>41041</v>
      </c>
      <c r="K3" s="50">
        <v>41041</v>
      </c>
      <c r="L3" s="50"/>
      <c r="M3" s="50"/>
    </row>
    <row r="4" spans="1:24" ht="13.5">
      <c r="A4" t="s">
        <v>242</v>
      </c>
      <c r="B4" s="12">
        <f>T4</f>
        <v>860.153024911032</v>
      </c>
      <c r="C4" s="12">
        <f>U4</f>
        <v>378.508896797153</v>
      </c>
      <c r="D4" s="12">
        <v>1307</v>
      </c>
      <c r="E4" s="12">
        <f aca="true" t="shared" si="0" ref="E4:E9">D4-C4</f>
        <v>928.491103202847</v>
      </c>
      <c r="F4" s="12">
        <f aca="true" t="shared" si="1" ref="F4:F12">B4+E4</f>
        <v>1788.644128113879</v>
      </c>
      <c r="G4">
        <v>1.08</v>
      </c>
      <c r="H4">
        <v>3</v>
      </c>
      <c r="J4">
        <f aca="true" t="shared" si="2" ref="J4:J5">982+867+1462</f>
        <v>3311</v>
      </c>
      <c r="K4">
        <f>1070+195+192</f>
        <v>1457</v>
      </c>
      <c r="L4" s="49">
        <f>244+531+883</f>
        <v>1658</v>
      </c>
      <c r="M4" s="49">
        <f>675+121+115</f>
        <v>911</v>
      </c>
      <c r="N4">
        <f aca="true" t="shared" si="3" ref="N4:N9">(J4-L4)/Q4*365</f>
        <v>2131.9611307420496</v>
      </c>
      <c r="O4">
        <f aca="true" t="shared" si="4" ref="O4:O9">(K4-M4)/Q4*365</f>
        <v>704.2049469964664</v>
      </c>
      <c r="P4" s="50">
        <v>40758</v>
      </c>
      <c r="Q4">
        <f>J3-P4</f>
        <v>283</v>
      </c>
      <c r="R4" s="50">
        <v>39636</v>
      </c>
      <c r="S4" s="49">
        <f>$J$3-R4</f>
        <v>1405</v>
      </c>
      <c r="T4">
        <f>J4/S4*365</f>
        <v>860.153024911032</v>
      </c>
      <c r="U4">
        <f>K4/S4*365</f>
        <v>378.508896797153</v>
      </c>
      <c r="V4" s="49">
        <f>D4</f>
        <v>1307</v>
      </c>
      <c r="W4">
        <f>V4-U4</f>
        <v>928.491103202847</v>
      </c>
      <c r="X4">
        <f>T4+W4</f>
        <v>1788.644128113879</v>
      </c>
    </row>
    <row r="5" spans="1:17" ht="13.5">
      <c r="A5" t="s">
        <v>243</v>
      </c>
      <c r="B5" s="12">
        <f>N5</f>
        <v>1006.0070671378093</v>
      </c>
      <c r="C5" s="12">
        <f>O5</f>
        <v>0</v>
      </c>
      <c r="D5" s="12">
        <v>0</v>
      </c>
      <c r="E5" s="12">
        <f t="shared" si="0"/>
        <v>0</v>
      </c>
      <c r="F5" s="12">
        <f t="shared" si="1"/>
        <v>1006.0070671378093</v>
      </c>
      <c r="G5">
        <v>0</v>
      </c>
      <c r="H5">
        <v>3</v>
      </c>
      <c r="J5">
        <f t="shared" si="2"/>
        <v>3311</v>
      </c>
      <c r="K5">
        <v>0</v>
      </c>
      <c r="L5" s="86">
        <f>744+656+1131</f>
        <v>2531</v>
      </c>
      <c r="N5">
        <f t="shared" si="3"/>
        <v>1006.0070671378093</v>
      </c>
      <c r="O5">
        <f t="shared" si="4"/>
        <v>0</v>
      </c>
      <c r="P5" s="50">
        <v>40758</v>
      </c>
      <c r="Q5">
        <f>J3-P5</f>
        <v>283</v>
      </c>
    </row>
    <row r="6" spans="1:24" ht="13.5">
      <c r="A6" t="s">
        <v>244</v>
      </c>
      <c r="B6" s="12">
        <f>T6</f>
        <v>212.13675213675216</v>
      </c>
      <c r="C6" s="12">
        <f>U6</f>
        <v>1016.3846153846154</v>
      </c>
      <c r="D6" s="12">
        <v>1225</v>
      </c>
      <c r="E6" s="12">
        <f t="shared" si="0"/>
        <v>208.61538461538464</v>
      </c>
      <c r="F6" s="12">
        <f t="shared" si="1"/>
        <v>420.75213675213683</v>
      </c>
      <c r="G6">
        <v>1.02</v>
      </c>
      <c r="H6">
        <v>3</v>
      </c>
      <c r="J6">
        <f>135+224+321</f>
        <v>680</v>
      </c>
      <c r="K6">
        <f>2290+475+493</f>
        <v>3258</v>
      </c>
      <c r="L6">
        <f>52+81+118</f>
        <v>251</v>
      </c>
      <c r="M6">
        <f>1846+381+402</f>
        <v>2629</v>
      </c>
      <c r="N6">
        <f t="shared" si="3"/>
        <v>553.303886925795</v>
      </c>
      <c r="O6">
        <f t="shared" si="4"/>
        <v>811.2544169611307</v>
      </c>
      <c r="P6" s="50">
        <v>40758</v>
      </c>
      <c r="Q6">
        <f>J3-P6</f>
        <v>283</v>
      </c>
      <c r="R6" s="50">
        <v>39871</v>
      </c>
      <c r="S6" s="49">
        <f>$J$3-R6</f>
        <v>1170</v>
      </c>
      <c r="T6">
        <f>J6/S6*365</f>
        <v>212.13675213675216</v>
      </c>
      <c r="U6">
        <f>K6/S6*365</f>
        <v>1016.3846153846154</v>
      </c>
      <c r="V6" s="49">
        <f>D6</f>
        <v>1225</v>
      </c>
      <c r="W6">
        <f>V6-U6</f>
        <v>208.61538461538464</v>
      </c>
      <c r="X6">
        <f>T6+W6</f>
        <v>420.75213675213683</v>
      </c>
    </row>
    <row r="7" spans="1:17" ht="13.5">
      <c r="A7" t="s">
        <v>245</v>
      </c>
      <c r="B7" s="12">
        <f aca="true" t="shared" si="5" ref="B7:B8">N7</f>
        <v>109.21259842519686</v>
      </c>
      <c r="C7" s="12">
        <f aca="true" t="shared" si="6" ref="C7:C8">O7</f>
        <v>1465.748031496063</v>
      </c>
      <c r="D7" s="12">
        <v>1987</v>
      </c>
      <c r="E7" s="12">
        <f t="shared" si="0"/>
        <v>521.251968503937</v>
      </c>
      <c r="F7" s="12">
        <f t="shared" si="1"/>
        <v>630.4645669291338</v>
      </c>
      <c r="G7">
        <v>1.6</v>
      </c>
      <c r="H7">
        <v>3</v>
      </c>
      <c r="J7">
        <f>14+24+38</f>
        <v>76</v>
      </c>
      <c r="K7">
        <f>696+157+167</f>
        <v>1020</v>
      </c>
      <c r="L7">
        <v>0</v>
      </c>
      <c r="M7">
        <v>0</v>
      </c>
      <c r="N7">
        <f t="shared" si="3"/>
        <v>109.21259842519686</v>
      </c>
      <c r="O7">
        <f t="shared" si="4"/>
        <v>1465.748031496063</v>
      </c>
      <c r="P7" s="50">
        <v>40787</v>
      </c>
      <c r="Q7">
        <f>J3-P7</f>
        <v>254</v>
      </c>
    </row>
    <row r="8" spans="1:17" ht="13.5">
      <c r="A8" t="s">
        <v>172</v>
      </c>
      <c r="B8" s="12">
        <f t="shared" si="5"/>
        <v>416.2280701754386</v>
      </c>
      <c r="C8" s="12">
        <f t="shared" si="6"/>
        <v>600.328947368421</v>
      </c>
      <c r="D8" s="12">
        <v>1987</v>
      </c>
      <c r="E8" s="12">
        <f t="shared" si="0"/>
        <v>1386.671052631579</v>
      </c>
      <c r="F8" s="12">
        <f t="shared" si="1"/>
        <v>1802.8991228070176</v>
      </c>
      <c r="G8">
        <v>1.645</v>
      </c>
      <c r="H8">
        <v>3</v>
      </c>
      <c r="J8">
        <f>56+90+114</f>
        <v>260</v>
      </c>
      <c r="K8">
        <f>255+65+55</f>
        <v>375</v>
      </c>
      <c r="L8">
        <v>0</v>
      </c>
      <c r="M8">
        <v>0</v>
      </c>
      <c r="N8">
        <f t="shared" si="3"/>
        <v>416.2280701754386</v>
      </c>
      <c r="O8">
        <f t="shared" si="4"/>
        <v>600.328947368421</v>
      </c>
      <c r="P8" s="50">
        <v>40813</v>
      </c>
      <c r="Q8">
        <f aca="true" t="shared" si="7" ref="Q8:Q9">$J$3-P8</f>
        <v>228</v>
      </c>
    </row>
    <row r="9" spans="1:29" ht="13.5">
      <c r="A9" t="s">
        <v>246</v>
      </c>
      <c r="B9" s="12">
        <f>T9</f>
        <v>1535.0621468926552</v>
      </c>
      <c r="C9" s="12">
        <f>U9</f>
        <v>2606.141242937853</v>
      </c>
      <c r="D9" s="12">
        <v>3508</v>
      </c>
      <c r="E9" s="12">
        <f t="shared" si="0"/>
        <v>901.8587570621471</v>
      </c>
      <c r="F9" s="12">
        <f t="shared" si="1"/>
        <v>2436.9209039548023</v>
      </c>
      <c r="G9">
        <v>2.88</v>
      </c>
      <c r="H9">
        <v>3</v>
      </c>
      <c r="J9">
        <f>564+1255+1903</f>
        <v>3722</v>
      </c>
      <c r="K9">
        <f>4635+856+828</f>
        <v>6319</v>
      </c>
      <c r="L9" s="49">
        <f>395+864+1266</f>
        <v>2525</v>
      </c>
      <c r="M9" s="49">
        <f>3198+574+572</f>
        <v>4344</v>
      </c>
      <c r="N9">
        <f t="shared" si="3"/>
        <v>1543.833922261484</v>
      </c>
      <c r="O9">
        <f t="shared" si="4"/>
        <v>2547.26148409894</v>
      </c>
      <c r="P9" s="50">
        <v>40758</v>
      </c>
      <c r="Q9">
        <f t="shared" si="7"/>
        <v>283</v>
      </c>
      <c r="R9" s="50">
        <v>40156</v>
      </c>
      <c r="S9" s="49">
        <f>$J$3-R9</f>
        <v>885</v>
      </c>
      <c r="T9">
        <f>J9/S9*365</f>
        <v>1535.0621468926552</v>
      </c>
      <c r="U9">
        <f>K9/S9*365</f>
        <v>2606.141242937853</v>
      </c>
      <c r="V9" s="49">
        <f>(5771+1382+1330)/S9*365</f>
        <v>3498.6384180790965</v>
      </c>
      <c r="W9">
        <f>V9-U9</f>
        <v>892.4971751412436</v>
      </c>
      <c r="X9">
        <f>T9+W9</f>
        <v>2427.5593220338988</v>
      </c>
      <c r="Z9" t="s">
        <v>247</v>
      </c>
      <c r="AA9">
        <v>0.2</v>
      </c>
      <c r="AB9" s="74">
        <f>W9*AA9</f>
        <v>178.49943502824874</v>
      </c>
      <c r="AC9" t="s">
        <v>248</v>
      </c>
    </row>
    <row r="10" spans="1:10" ht="13.5">
      <c r="A10" t="s">
        <v>249</v>
      </c>
      <c r="B10" s="12">
        <v>892</v>
      </c>
      <c r="C10" s="12">
        <v>0</v>
      </c>
      <c r="D10" s="12">
        <v>0</v>
      </c>
      <c r="E10" s="12">
        <v>0</v>
      </c>
      <c r="F10" s="12">
        <f t="shared" si="1"/>
        <v>892</v>
      </c>
      <c r="G10">
        <v>0</v>
      </c>
      <c r="H10">
        <v>3</v>
      </c>
      <c r="J10">
        <f>1293+1152+1352</f>
        <v>3797</v>
      </c>
    </row>
    <row r="11" spans="1:20" ht="13.5">
      <c r="A11" t="s">
        <v>250</v>
      </c>
      <c r="B11" s="12">
        <v>3650</v>
      </c>
      <c r="C11" s="12">
        <v>0</v>
      </c>
      <c r="D11" s="12">
        <v>0</v>
      </c>
      <c r="E11" s="12">
        <v>0</v>
      </c>
      <c r="F11" s="12">
        <f t="shared" si="1"/>
        <v>3650</v>
      </c>
      <c r="G11">
        <v>0</v>
      </c>
      <c r="H11">
        <v>3</v>
      </c>
      <c r="J11">
        <f>4000+3000+5000</f>
        <v>12000</v>
      </c>
      <c r="K11" s="50">
        <v>40467</v>
      </c>
      <c r="R11" s="50">
        <v>40390</v>
      </c>
      <c r="S11">
        <f>K11-R11</f>
        <v>77</v>
      </c>
      <c r="T11">
        <f>770/S11*365</f>
        <v>3650</v>
      </c>
    </row>
    <row r="12" spans="1:18" ht="13.5">
      <c r="A12" t="s">
        <v>251</v>
      </c>
      <c r="B12" s="12">
        <v>30</v>
      </c>
      <c r="C12" s="12">
        <f>D12-E12</f>
        <v>17141</v>
      </c>
      <c r="D12" s="12">
        <v>17441</v>
      </c>
      <c r="E12" s="12">
        <v>300</v>
      </c>
      <c r="F12" s="12">
        <f t="shared" si="1"/>
        <v>330</v>
      </c>
      <c r="G12">
        <v>14.1</v>
      </c>
      <c r="H12">
        <v>3</v>
      </c>
      <c r="R12" s="50">
        <v>40996</v>
      </c>
    </row>
    <row r="13" spans="2:6" ht="13.5">
      <c r="B13" s="12"/>
      <c r="C13" s="12"/>
      <c r="D13" s="12"/>
      <c r="E13" s="12"/>
      <c r="F13" s="12"/>
    </row>
    <row r="14" spans="1:9" ht="13.5">
      <c r="A14" s="20" t="s">
        <v>252</v>
      </c>
      <c r="B14" s="87">
        <f>SUM(B4:B13)</f>
        <v>8710.799659678885</v>
      </c>
      <c r="C14" s="87">
        <f>SUM(C4:C13)</f>
        <v>23208.111733984108</v>
      </c>
      <c r="D14" s="87">
        <f>SUM(D4:D13)</f>
        <v>27455</v>
      </c>
      <c r="E14" s="87">
        <f>SUM(E4:E13)</f>
        <v>4246.888266015894</v>
      </c>
      <c r="F14" s="87">
        <f>SUM(F4:F13)</f>
        <v>12957.68792569478</v>
      </c>
      <c r="G14" s="20">
        <f>SUM(G4:G13)</f>
        <v>22.325000000000003</v>
      </c>
      <c r="H14" s="17">
        <f>SUM(H4:H13)</f>
        <v>27</v>
      </c>
      <c r="I14" s="17"/>
    </row>
    <row r="15" spans="1:7" ht="13.5">
      <c r="A15" s="20"/>
      <c r="B15" s="87"/>
      <c r="C15" s="87"/>
      <c r="D15" s="87"/>
      <c r="E15" s="87"/>
      <c r="F15" s="87"/>
      <c r="G15" s="20"/>
    </row>
    <row r="16" spans="1:6" ht="13.5">
      <c r="A16" t="s">
        <v>253</v>
      </c>
      <c r="B16" s="12"/>
      <c r="C16" s="12"/>
      <c r="D16" s="12">
        <f>D14</f>
        <v>27455</v>
      </c>
      <c r="E16" s="12" t="s">
        <v>254</v>
      </c>
      <c r="F16" s="12"/>
    </row>
    <row r="17" spans="1:6" ht="13.5">
      <c r="A17" t="s">
        <v>255</v>
      </c>
      <c r="B17" s="12"/>
      <c r="C17" s="12"/>
      <c r="D17" s="12">
        <f>F14</f>
        <v>12957.68792569478</v>
      </c>
      <c r="E17" s="12" t="s">
        <v>256</v>
      </c>
      <c r="F17" s="12">
        <f>D17/365/12</f>
        <v>2.9583762387431007</v>
      </c>
    </row>
    <row r="18" spans="1:6" ht="13.5">
      <c r="A18" t="s">
        <v>257</v>
      </c>
      <c r="B18" s="12"/>
      <c r="C18" s="12"/>
      <c r="D18" s="12">
        <f>D14-F14</f>
        <v>14497.31207430522</v>
      </c>
      <c r="E18" s="12" t="s">
        <v>3</v>
      </c>
      <c r="F18" s="12"/>
    </row>
    <row r="19" spans="4:6" ht="13.5">
      <c r="D19" s="12">
        <f>D18*0.56</f>
        <v>8118.494761610924</v>
      </c>
      <c r="E19" s="12" t="s">
        <v>258</v>
      </c>
      <c r="F19" s="12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</sheetData>
  <sheetProtection selectLockedCells="1" selectUnlockedCells="1"/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2" sqref="A2"/>
    </sheetView>
  </sheetViews>
  <sheetFormatPr defaultColWidth="11.421875" defaultRowHeight="12.75"/>
  <cols>
    <col min="1" max="1" width="10.8515625" style="0" customWidth="1"/>
    <col min="2" max="2" width="9.140625" style="0" customWidth="1"/>
    <col min="3" max="3" width="9.28125" style="0" customWidth="1"/>
    <col min="5" max="5" width="9.421875" style="0" customWidth="1"/>
    <col min="6" max="6" width="12.00390625" style="0" customWidth="1"/>
    <col min="7" max="7" width="11.00390625" style="49" customWidth="1"/>
    <col min="8" max="10" width="11.57421875" style="0" customWidth="1"/>
    <col min="11" max="16384" width="11.57421875" style="0" customWidth="1"/>
  </cols>
  <sheetData>
    <row r="1" spans="1:9" ht="12">
      <c r="A1" s="1" t="s">
        <v>259</v>
      </c>
      <c r="B1" s="50"/>
      <c r="C1" s="50"/>
      <c r="D1" s="50"/>
      <c r="E1" s="50"/>
      <c r="F1" s="51"/>
      <c r="G1" s="52"/>
      <c r="I1" s="53"/>
    </row>
    <row r="2" spans="1:9" ht="12">
      <c r="A2" s="1" t="s">
        <v>3</v>
      </c>
      <c r="B2" s="50">
        <v>40758</v>
      </c>
      <c r="C2" s="50"/>
      <c r="D2" s="50">
        <v>40765</v>
      </c>
      <c r="E2" s="50"/>
      <c r="F2" s="51" t="s">
        <v>224</v>
      </c>
      <c r="G2" s="52"/>
      <c r="I2" s="53" t="s">
        <v>260</v>
      </c>
    </row>
    <row r="3" spans="1:10" ht="12">
      <c r="A3" s="1"/>
      <c r="B3" s="50" t="s">
        <v>6</v>
      </c>
      <c r="C3" s="50" t="s">
        <v>7</v>
      </c>
      <c r="D3" s="50" t="s">
        <v>6</v>
      </c>
      <c r="E3" s="50" t="s">
        <v>7</v>
      </c>
      <c r="F3" s="51" t="s">
        <v>6</v>
      </c>
      <c r="G3" s="52" t="s">
        <v>7</v>
      </c>
      <c r="H3" t="s">
        <v>261</v>
      </c>
      <c r="I3" s="74">
        <v>0.2</v>
      </c>
      <c r="J3" t="s">
        <v>262</v>
      </c>
    </row>
    <row r="4" spans="1:10" ht="12">
      <c r="A4" s="88" t="s">
        <v>49</v>
      </c>
      <c r="B4" s="49">
        <f>395+864+1266</f>
        <v>2525</v>
      </c>
      <c r="C4" s="49">
        <f>3198+574+572</f>
        <v>4344</v>
      </c>
      <c r="D4" s="49">
        <f>425+918+1350</f>
        <v>2693</v>
      </c>
      <c r="E4" s="49">
        <f>3211+575+575</f>
        <v>4361</v>
      </c>
      <c r="F4" s="75">
        <f aca="true" t="shared" si="0" ref="F4:F8">D4-B4</f>
        <v>168</v>
      </c>
      <c r="G4" s="49">
        <f aca="true" t="shared" si="1" ref="G4:G6">E4-C4</f>
        <v>17</v>
      </c>
      <c r="H4">
        <f aca="true" t="shared" si="2" ref="H4:H8">F4-G4</f>
        <v>151</v>
      </c>
      <c r="I4" s="74">
        <f>F4*$I3</f>
        <v>33.6</v>
      </c>
      <c r="J4">
        <f aca="true" t="shared" si="3" ref="J4:J6">E4-D4</f>
        <v>1668</v>
      </c>
    </row>
    <row r="5" spans="1:10" ht="12">
      <c r="A5" s="88" t="s">
        <v>12</v>
      </c>
      <c r="B5" s="49">
        <f>244+531+883</f>
        <v>1658</v>
      </c>
      <c r="C5" s="49">
        <f>675+121+115</f>
        <v>911</v>
      </c>
      <c r="D5" s="49">
        <f>253+550+912</f>
        <v>1715</v>
      </c>
      <c r="E5" s="49">
        <f>684+121+116</f>
        <v>921</v>
      </c>
      <c r="F5" s="75">
        <f t="shared" si="0"/>
        <v>57</v>
      </c>
      <c r="G5" s="49">
        <f t="shared" si="1"/>
        <v>10</v>
      </c>
      <c r="H5">
        <f t="shared" si="2"/>
        <v>47</v>
      </c>
      <c r="I5" s="74">
        <f>F5*$I3</f>
        <v>11.4</v>
      </c>
      <c r="J5">
        <f t="shared" si="3"/>
        <v>-794</v>
      </c>
    </row>
    <row r="6" spans="1:10" ht="12">
      <c r="A6" t="s">
        <v>14</v>
      </c>
      <c r="B6">
        <f>52+81+118</f>
        <v>251</v>
      </c>
      <c r="C6">
        <f>1846+381+402</f>
        <v>2629</v>
      </c>
      <c r="D6">
        <f>52+87+125</f>
        <v>264</v>
      </c>
      <c r="E6">
        <f>1866+383+405</f>
        <v>2654</v>
      </c>
      <c r="F6" s="75">
        <f t="shared" si="0"/>
        <v>13</v>
      </c>
      <c r="G6" s="49">
        <f t="shared" si="1"/>
        <v>25</v>
      </c>
      <c r="H6">
        <f t="shared" si="2"/>
        <v>-12</v>
      </c>
      <c r="I6" s="74">
        <f>F6*I3</f>
        <v>2.6</v>
      </c>
      <c r="J6">
        <f t="shared" si="3"/>
        <v>2390</v>
      </c>
    </row>
    <row r="7" spans="1:9" ht="12">
      <c r="A7" t="s">
        <v>149</v>
      </c>
      <c r="B7">
        <f>1674+1186+5649</f>
        <v>8509</v>
      </c>
      <c r="D7">
        <f>1696+1206+5666</f>
        <v>8568</v>
      </c>
      <c r="F7" s="75">
        <f t="shared" si="0"/>
        <v>59</v>
      </c>
      <c r="H7">
        <f t="shared" si="2"/>
        <v>59</v>
      </c>
      <c r="I7" s="74">
        <f>F7*I3</f>
        <v>11.8</v>
      </c>
    </row>
    <row r="8" spans="1:9" ht="12">
      <c r="A8" s="89" t="s">
        <v>13</v>
      </c>
      <c r="B8" s="89">
        <f>744+656+1131</f>
        <v>2531</v>
      </c>
      <c r="C8" s="89"/>
      <c r="D8" s="89">
        <f>774+669+1147</f>
        <v>2590</v>
      </c>
      <c r="E8" s="89"/>
      <c r="F8" s="90">
        <f t="shared" si="0"/>
        <v>59</v>
      </c>
      <c r="G8" s="91"/>
      <c r="H8">
        <f t="shared" si="2"/>
        <v>59</v>
      </c>
      <c r="I8" s="74">
        <f>F8*I3</f>
        <v>11.8</v>
      </c>
    </row>
    <row r="9" spans="1:10" ht="12">
      <c r="A9" s="17"/>
      <c r="B9" s="17"/>
      <c r="C9" s="17"/>
      <c r="D9" s="17"/>
      <c r="E9" s="17"/>
      <c r="F9" s="17">
        <f>SUM(F4:F8)</f>
        <v>356</v>
      </c>
      <c r="G9" s="17">
        <f>SUM(G4:G8)</f>
        <v>52</v>
      </c>
      <c r="H9" s="62">
        <f>SUM(H4:H8)</f>
        <v>304</v>
      </c>
      <c r="I9" s="71">
        <f>SUM(I3:I8)</f>
        <v>71.4</v>
      </c>
      <c r="J9" s="1">
        <f>J4+J5+J6</f>
        <v>3264</v>
      </c>
    </row>
    <row r="10" spans="7:9" ht="12">
      <c r="G10" s="49" t="s">
        <v>263</v>
      </c>
      <c r="H10">
        <f>H9/7/24</f>
        <v>1.8095238095238095</v>
      </c>
      <c r="I10" t="s">
        <v>3</v>
      </c>
    </row>
    <row r="11" spans="7:9" ht="12">
      <c r="G11" s="49" t="s">
        <v>264</v>
      </c>
      <c r="H11">
        <f>H9/7</f>
        <v>43.42857142857143</v>
      </c>
      <c r="I11" t="s">
        <v>3</v>
      </c>
    </row>
    <row r="13" ht="12">
      <c r="A13" t="s">
        <v>265</v>
      </c>
    </row>
    <row r="14" spans="1:2" ht="12">
      <c r="A14">
        <f>H9</f>
        <v>304</v>
      </c>
      <c r="B14" t="s">
        <v>3</v>
      </c>
    </row>
    <row r="15" ht="12">
      <c r="A15" t="s">
        <v>266</v>
      </c>
    </row>
    <row r="16" spans="1:2" ht="12">
      <c r="A16">
        <f>J9</f>
        <v>3264</v>
      </c>
      <c r="B16" t="s">
        <v>3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9" sqref="A9"/>
    </sheetView>
  </sheetViews>
  <sheetFormatPr defaultColWidth="11.421875" defaultRowHeight="12.75"/>
  <cols>
    <col min="1" max="1" width="21.8515625" style="0" customWidth="1"/>
    <col min="2" max="9" width="11.57421875" style="0" customWidth="1"/>
    <col min="10" max="16384" width="11.57421875" style="0" customWidth="1"/>
  </cols>
  <sheetData>
    <row r="1" spans="1:9" ht="12">
      <c r="A1" s="1" t="s">
        <v>267</v>
      </c>
      <c r="B1" s="50"/>
      <c r="C1" s="50"/>
      <c r="D1" s="50"/>
      <c r="E1" s="50"/>
      <c r="F1" s="50"/>
      <c r="G1" s="50"/>
      <c r="H1" s="51"/>
      <c r="I1" s="53"/>
    </row>
    <row r="2" spans="1:9" ht="12">
      <c r="A2" s="1" t="s">
        <v>268</v>
      </c>
      <c r="B2" s="50">
        <v>40028</v>
      </c>
      <c r="C2" s="50">
        <v>40029</v>
      </c>
      <c r="D2" s="50">
        <v>40030</v>
      </c>
      <c r="E2" s="50">
        <v>40031</v>
      </c>
      <c r="F2" s="50">
        <v>40032</v>
      </c>
      <c r="G2" s="50">
        <v>40033</v>
      </c>
      <c r="H2" s="51" t="s">
        <v>21</v>
      </c>
      <c r="I2" s="53" t="s">
        <v>260</v>
      </c>
    </row>
    <row r="3" spans="1:9" ht="12">
      <c r="A3" s="92" t="s">
        <v>269</v>
      </c>
      <c r="B3" s="49">
        <f>4860.3-4846.3</f>
        <v>14</v>
      </c>
      <c r="C3" s="49">
        <f>4914.4-4860.3</f>
        <v>54.099999999999454</v>
      </c>
      <c r="D3" s="49">
        <f>4973.1-4914.4</f>
        <v>58.70000000000073</v>
      </c>
      <c r="E3" s="49">
        <f>5050.5-4973.1</f>
        <v>77.39999999999964</v>
      </c>
      <c r="F3" s="49">
        <f>5132-5050.5</f>
        <v>81.5</v>
      </c>
      <c r="G3" s="49">
        <f>5192-5132</f>
        <v>60</v>
      </c>
      <c r="H3" s="75">
        <f aca="true" t="shared" si="0" ref="H3:H11">SUM(B3:G3)</f>
        <v>345.6999999999998</v>
      </c>
      <c r="I3" s="74">
        <v>0.2</v>
      </c>
    </row>
    <row r="4" spans="1:8" ht="12">
      <c r="A4" s="92" t="s">
        <v>270</v>
      </c>
      <c r="B4" s="49">
        <f>(2+7+12)-(2+7+12)</f>
        <v>0</v>
      </c>
      <c r="C4" s="49">
        <f>(2+7+13)-(2+7+12)</f>
        <v>1</v>
      </c>
      <c r="D4" s="49">
        <f>(2+8+14)-(2+7+13)</f>
        <v>2</v>
      </c>
      <c r="E4" s="49">
        <f>(2+9+15)-(2+8+14)</f>
        <v>2</v>
      </c>
      <c r="F4" s="49">
        <f>(2+10+16)-(2+9+15)</f>
        <v>2</v>
      </c>
      <c r="G4" s="49">
        <f>(2+11+21)-(2+10+16)</f>
        <v>6</v>
      </c>
      <c r="H4" s="75">
        <f t="shared" si="0"/>
        <v>13</v>
      </c>
    </row>
    <row r="5" spans="1:8" ht="12">
      <c r="A5" s="32" t="s">
        <v>271</v>
      </c>
      <c r="B5" s="49">
        <f>(452+98+113)-(449+98+113)</f>
        <v>3</v>
      </c>
      <c r="C5" s="49">
        <f>(457+98+113)-(452+98+113)</f>
        <v>5</v>
      </c>
      <c r="D5" s="49">
        <f>(460+98+113)-(457+98+113)</f>
        <v>3</v>
      </c>
      <c r="E5" s="49">
        <f>(466+98+113)-(460+98+113)</f>
        <v>6</v>
      </c>
      <c r="F5" s="49">
        <f>(470+98+113)-(466+98+113)</f>
        <v>4</v>
      </c>
      <c r="G5" s="49">
        <f>(470+102+114)-(470+98+113)</f>
        <v>5</v>
      </c>
      <c r="H5" s="75">
        <f t="shared" si="0"/>
        <v>26</v>
      </c>
    </row>
    <row r="6" spans="1:8" ht="12">
      <c r="A6" s="32" t="s">
        <v>272</v>
      </c>
      <c r="B6" s="49">
        <f>1609-1607</f>
        <v>2</v>
      </c>
      <c r="C6" s="49">
        <f>1611-1609</f>
        <v>2</v>
      </c>
      <c r="D6" s="49">
        <f>1614-1611</f>
        <v>3</v>
      </c>
      <c r="E6" s="49">
        <f>1616-1614</f>
        <v>2</v>
      </c>
      <c r="F6" s="49">
        <f>1619-1616</f>
        <v>3</v>
      </c>
      <c r="G6" s="49">
        <f>1623-1619</f>
        <v>4</v>
      </c>
      <c r="H6" s="75">
        <f t="shared" si="0"/>
        <v>16</v>
      </c>
    </row>
    <row r="7" spans="1:8" ht="12">
      <c r="A7" s="32" t="s">
        <v>273</v>
      </c>
      <c r="B7" s="49">
        <f>781-780</f>
        <v>1</v>
      </c>
      <c r="C7" s="49">
        <f>785-781</f>
        <v>4</v>
      </c>
      <c r="D7" s="49">
        <f>789-785</f>
        <v>4</v>
      </c>
      <c r="E7" s="49">
        <f>792-789</f>
        <v>3</v>
      </c>
      <c r="F7" s="49">
        <f>796-792</f>
        <v>4</v>
      </c>
      <c r="G7" s="49">
        <f>799-796</f>
        <v>3</v>
      </c>
      <c r="H7" s="75">
        <f t="shared" si="0"/>
        <v>19</v>
      </c>
    </row>
    <row r="8" spans="1:8" ht="12">
      <c r="A8" s="92" t="s">
        <v>274</v>
      </c>
      <c r="B8" s="49">
        <f>123-123</f>
        <v>0</v>
      </c>
      <c r="C8" s="49">
        <f>124-123</f>
        <v>1</v>
      </c>
      <c r="D8" s="49">
        <f>125-124</f>
        <v>1</v>
      </c>
      <c r="E8" s="49">
        <f>127-125</f>
        <v>2</v>
      </c>
      <c r="F8" s="49">
        <f>127-127</f>
        <v>0</v>
      </c>
      <c r="G8" s="49">
        <f>127-127</f>
        <v>0</v>
      </c>
      <c r="H8" s="75">
        <f t="shared" si="0"/>
        <v>4</v>
      </c>
    </row>
    <row r="9" spans="1:8" ht="12">
      <c r="A9" s="92" t="s">
        <v>275</v>
      </c>
      <c r="B9" s="49">
        <f>(117+95+6192)-(108+94+6188)</f>
        <v>14</v>
      </c>
      <c r="C9" s="49">
        <f>(130+100+6197)-(117+95+6192)</f>
        <v>23</v>
      </c>
      <c r="D9" s="49">
        <f>(139+105+6201)-(130+100+6197)</f>
        <v>18</v>
      </c>
      <c r="E9" s="49">
        <f>(148+110+6206)-(139+105+6201)</f>
        <v>19</v>
      </c>
      <c r="F9" s="49">
        <f>(160+119+6215)-(148+110+6206)</f>
        <v>30</v>
      </c>
      <c r="G9" s="49">
        <f>(160+134+6228)-(160+119+6215)</f>
        <v>28</v>
      </c>
      <c r="H9" s="75">
        <f t="shared" si="0"/>
        <v>132</v>
      </c>
    </row>
    <row r="10" spans="1:8" ht="12">
      <c r="A10" s="32" t="s">
        <v>276</v>
      </c>
      <c r="B10" s="49">
        <f>(75+58+4420)-(75+58+4419)</f>
        <v>1</v>
      </c>
      <c r="C10" s="49">
        <f>(76+59+4421)-(75+58+4420)</f>
        <v>3</v>
      </c>
      <c r="D10" s="49">
        <f>(78+60+4421)-(76+59+4421)</f>
        <v>3</v>
      </c>
      <c r="E10" s="49">
        <f>(79+60+4422)-(78+60+4421)</f>
        <v>2</v>
      </c>
      <c r="F10" s="49">
        <f>(81+61+4423)-(79+60+4422)</f>
        <v>4</v>
      </c>
      <c r="G10" s="49">
        <f>(75+58+4420)-(75+58+4419)</f>
        <v>1</v>
      </c>
      <c r="H10" s="75">
        <f t="shared" si="0"/>
        <v>14</v>
      </c>
    </row>
    <row r="11" spans="1:8" ht="12">
      <c r="A11" s="93" t="s">
        <v>277</v>
      </c>
      <c r="B11" s="93">
        <f>B3+B4+B8+B9</f>
        <v>28</v>
      </c>
      <c r="C11" s="93">
        <f>C3+C4+C8+C9</f>
        <v>79.09999999999945</v>
      </c>
      <c r="D11" s="93">
        <f>D3+D4+D8+D9</f>
        <v>79.70000000000073</v>
      </c>
      <c r="E11" s="93">
        <f>E3+E4+E8+E9</f>
        <v>100.39999999999964</v>
      </c>
      <c r="F11" s="93">
        <f>F3+F4+F8+F9</f>
        <v>113.5</v>
      </c>
      <c r="G11" s="93">
        <f>G3+G4+G8+G9</f>
        <v>94</v>
      </c>
      <c r="H11" s="94">
        <f t="shared" si="0"/>
        <v>494.6999999999998</v>
      </c>
    </row>
    <row r="12" spans="1:8" ht="12">
      <c r="A12" t="s">
        <v>278</v>
      </c>
      <c r="B12" s="74">
        <f>B11*$I3</f>
        <v>5.6000000000000005</v>
      </c>
      <c r="C12" s="74">
        <f>C11*$I3</f>
        <v>15.819999999999892</v>
      </c>
      <c r="D12" s="74">
        <f>D11*$I3</f>
        <v>15.940000000000147</v>
      </c>
      <c r="E12" s="74">
        <f>E11*$I3</f>
        <v>20.079999999999927</v>
      </c>
      <c r="F12" s="74">
        <f>F11*$I3</f>
        <v>22.700000000000003</v>
      </c>
      <c r="G12" s="74">
        <f>G11*$I3</f>
        <v>18.8</v>
      </c>
      <c r="H12" s="95">
        <f>H11*$I3</f>
        <v>98.93999999999997</v>
      </c>
    </row>
    <row r="13" spans="1:8" ht="12">
      <c r="A13" t="s">
        <v>279</v>
      </c>
      <c r="B13">
        <v>28</v>
      </c>
      <c r="C13">
        <f>B13+C11</f>
        <v>107.09999999999945</v>
      </c>
      <c r="D13">
        <f>C13+D11</f>
        <v>186.80000000000018</v>
      </c>
      <c r="E13">
        <f>D13+E11</f>
        <v>287.1999999999998</v>
      </c>
      <c r="F13">
        <f>E13+F11</f>
        <v>400.6999999999998</v>
      </c>
      <c r="G13">
        <f>F13+G11</f>
        <v>494.6999999999998</v>
      </c>
      <c r="H13" s="75"/>
    </row>
    <row r="15" ht="12">
      <c r="A15" s="1" t="s">
        <v>280</v>
      </c>
    </row>
    <row r="16" spans="1:8" ht="12">
      <c r="A16" s="32" t="s">
        <v>14</v>
      </c>
      <c r="B16">
        <f>(463+102+118)-679</f>
        <v>4</v>
      </c>
      <c r="C16">
        <f>(469+102+118)-(463+102+118)</f>
        <v>6</v>
      </c>
      <c r="D16">
        <f>(474+102+118)-(469+102+118)</f>
        <v>5</v>
      </c>
      <c r="E16">
        <f>(479+103+118)-(474+102+118)</f>
        <v>6</v>
      </c>
      <c r="F16">
        <f>(485+103+118)-(479+103+118)</f>
        <v>6</v>
      </c>
      <c r="G16">
        <f>(485+107+119)-(485+103+118)</f>
        <v>5</v>
      </c>
      <c r="H16" s="96">
        <f aca="true" t="shared" si="1" ref="H16:H17">SUM(B16:G16)</f>
        <v>32</v>
      </c>
    </row>
    <row r="17" spans="1:8" ht="12">
      <c r="A17" s="32" t="s">
        <v>12</v>
      </c>
      <c r="B17">
        <f>1450-1447</f>
        <v>3</v>
      </c>
      <c r="C17">
        <f>1457-1450</f>
        <v>7</v>
      </c>
      <c r="D17">
        <f>1463-1457</f>
        <v>6</v>
      </c>
      <c r="E17">
        <f>1469-1463</f>
        <v>6</v>
      </c>
      <c r="F17">
        <f>1475-1469</f>
        <v>6</v>
      </c>
      <c r="G17">
        <f>1480-1475</f>
        <v>5</v>
      </c>
      <c r="H17" s="96">
        <f t="shared" si="1"/>
        <v>33</v>
      </c>
    </row>
    <row r="18" spans="1:8" ht="12">
      <c r="A18" s="93" t="s">
        <v>207</v>
      </c>
      <c r="B18" s="93">
        <f>SUM(B16:B17)</f>
        <v>7</v>
      </c>
      <c r="C18" s="93">
        <f>SUM(C16:C17)</f>
        <v>13</v>
      </c>
      <c r="D18" s="93">
        <f>SUM(D16:D17)</f>
        <v>11</v>
      </c>
      <c r="E18" s="93">
        <f>SUM(E16:E17)</f>
        <v>12</v>
      </c>
      <c r="F18" s="93">
        <f>SUM(F16:F17)</f>
        <v>12</v>
      </c>
      <c r="G18" s="93">
        <f>SUM(G16:G17)</f>
        <v>10</v>
      </c>
      <c r="H18" s="93">
        <f>SUM(H16:H17)</f>
        <v>65</v>
      </c>
    </row>
    <row r="20" ht="12">
      <c r="A20" s="1" t="s">
        <v>281</v>
      </c>
    </row>
    <row r="21" spans="1:7" ht="12">
      <c r="A21" t="s">
        <v>282</v>
      </c>
      <c r="B21">
        <f>B11/B18</f>
        <v>4</v>
      </c>
      <c r="C21">
        <f>C11/C18</f>
        <v>6.084615384615343</v>
      </c>
      <c r="D21">
        <f>D11/D18</f>
        <v>7.245454545454612</v>
      </c>
      <c r="E21">
        <f>E11/E18</f>
        <v>8.366666666666637</v>
      </c>
      <c r="F21">
        <f>F11/F18</f>
        <v>9.458333333333334</v>
      </c>
      <c r="G21">
        <f>G11/G18</f>
        <v>9.4</v>
      </c>
    </row>
    <row r="22" spans="1:7" ht="12">
      <c r="A22" s="20" t="s">
        <v>207</v>
      </c>
      <c r="B22" s="93">
        <f>B13/$B18:B18</f>
        <v>4</v>
      </c>
      <c r="C22" s="93">
        <f>C13/AVERAGE(B18:C18)</f>
        <v>10.709999999999946</v>
      </c>
      <c r="D22" s="93">
        <f>D13/AVERAGE(B18:D18)</f>
        <v>18.077419354838725</v>
      </c>
      <c r="E22" s="93">
        <f>E13/AVERAGE(B18:E18)</f>
        <v>26.716279069767424</v>
      </c>
      <c r="F22" s="93">
        <f>F13/AVERAGE(B18:F18)</f>
        <v>36.42727272727271</v>
      </c>
      <c r="G22" s="93">
        <f>G13/AVERAGE(B18:G18)</f>
        <v>45.66461538461537</v>
      </c>
    </row>
    <row r="24" ht="12">
      <c r="A24" s="1" t="s">
        <v>283</v>
      </c>
    </row>
    <row r="25" spans="1:4" ht="12">
      <c r="A25" t="s">
        <v>284</v>
      </c>
      <c r="D25">
        <v>16</v>
      </c>
    </row>
    <row r="26" spans="1:4" ht="12">
      <c r="A26" t="s">
        <v>285</v>
      </c>
      <c r="D26">
        <v>19</v>
      </c>
    </row>
    <row r="27" spans="1:4" ht="12">
      <c r="A27" t="s">
        <v>286</v>
      </c>
      <c r="D27">
        <v>2</v>
      </c>
    </row>
    <row r="28" spans="1:4" ht="12">
      <c r="A28" t="s">
        <v>287</v>
      </c>
      <c r="D28">
        <v>1</v>
      </c>
    </row>
    <row r="29" spans="1:4" ht="12">
      <c r="A29" t="s">
        <v>288</v>
      </c>
      <c r="D29">
        <v>7</v>
      </c>
    </row>
    <row r="30" spans="1:4" ht="12">
      <c r="A30" t="s">
        <v>289</v>
      </c>
      <c r="D30">
        <v>34</v>
      </c>
    </row>
    <row r="31" spans="1:4" ht="12">
      <c r="A31" t="s">
        <v>207</v>
      </c>
      <c r="D31">
        <f>SUM(D25:D30)</f>
        <v>79</v>
      </c>
    </row>
    <row r="33" ht="12">
      <c r="A33" s="1" t="s">
        <v>290</v>
      </c>
    </row>
    <row r="34" spans="1:2" ht="12">
      <c r="A34" s="97">
        <v>0.375</v>
      </c>
      <c r="B34">
        <v>4</v>
      </c>
    </row>
    <row r="35" spans="1:2" ht="12">
      <c r="A35" s="97">
        <v>0.4166666666666667</v>
      </c>
      <c r="B35">
        <v>3.1</v>
      </c>
    </row>
    <row r="36" spans="1:2" ht="12">
      <c r="A36" s="97">
        <v>0.4583333333333333</v>
      </c>
      <c r="B36">
        <v>2.1</v>
      </c>
    </row>
    <row r="37" spans="1:2" ht="12">
      <c r="A37" s="97">
        <v>0.5</v>
      </c>
      <c r="B37">
        <v>1.6</v>
      </c>
    </row>
    <row r="38" spans="1:2" ht="12">
      <c r="A38" s="97">
        <v>0.5416666666666666</v>
      </c>
      <c r="B38">
        <v>1.6</v>
      </c>
    </row>
    <row r="39" spans="1:2" ht="12">
      <c r="A39" s="97">
        <v>0.5833333333333334</v>
      </c>
      <c r="B39">
        <v>1.8</v>
      </c>
    </row>
    <row r="40" spans="1:2" ht="12">
      <c r="A40" s="97">
        <v>0.625</v>
      </c>
      <c r="B40">
        <v>0.8</v>
      </c>
    </row>
    <row r="41" spans="1:2" ht="12">
      <c r="A41" s="97">
        <v>0.6666666666666666</v>
      </c>
      <c r="B41">
        <v>0.8</v>
      </c>
    </row>
    <row r="42" spans="1:2" ht="12">
      <c r="A42" s="97">
        <v>0.7083333333333334</v>
      </c>
      <c r="B42">
        <v>4.2</v>
      </c>
    </row>
    <row r="43" spans="1:2" ht="12">
      <c r="A43" s="97">
        <v>0.75</v>
      </c>
      <c r="B43">
        <v>6.5</v>
      </c>
    </row>
    <row r="44" spans="1:2" ht="12">
      <c r="A44" s="97">
        <v>0.7916666666666666</v>
      </c>
      <c r="B44">
        <v>4.8</v>
      </c>
    </row>
    <row r="45" spans="1:2" ht="12">
      <c r="A45" s="97">
        <v>0.8333333333333334</v>
      </c>
      <c r="B45">
        <v>1.5</v>
      </c>
    </row>
    <row r="46" spans="1:2" ht="12">
      <c r="A46" s="97">
        <v>0.875</v>
      </c>
      <c r="B46">
        <v>12.4</v>
      </c>
    </row>
    <row r="47" spans="1:2" ht="12">
      <c r="A47" s="97">
        <v>0.9166666666666666</v>
      </c>
      <c r="B47">
        <v>12.4</v>
      </c>
    </row>
    <row r="48" spans="1:2" ht="12">
      <c r="A48" s="97">
        <v>0.9583333333333334</v>
      </c>
      <c r="B48">
        <v>5.2</v>
      </c>
    </row>
    <row r="49" spans="1:2" ht="12">
      <c r="A49" s="97">
        <v>1</v>
      </c>
      <c r="B49">
        <v>5.2</v>
      </c>
    </row>
    <row r="50" spans="1:2" ht="12">
      <c r="A50" s="97">
        <v>1.0416666666666667</v>
      </c>
      <c r="B50">
        <v>5.2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2018-07-30T10:04:50Z</cp:lastPrinted>
  <dcterms:created xsi:type="dcterms:W3CDTF">2009-08-10T15:10:29Z</dcterms:created>
  <dcterms:modified xsi:type="dcterms:W3CDTF">2019-07-29T12:41:56Z</dcterms:modified>
  <cp:category/>
  <cp:version/>
  <cp:contentType/>
  <cp:contentStatus/>
  <cp:revision>53</cp:revision>
</cp:coreProperties>
</file>